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7gR/qJH6xVhzc1cX7gH8kmoe48nOsIU+q3J1EeMpkOda10rhGvmsc6DhxjSC4nfKF25p6JmrzDb5AWON98nDQg==" workbookSaltValue="UEN/ttedHdJ8AubaavEw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S20" i="14" s="1"/>
  <c r="V20" i="14"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BK22" i="11"/>
  <c r="T14" i="20"/>
  <c r="BB26" i="13"/>
  <c r="BF16" i="8"/>
  <c r="BD9" i="8"/>
  <c r="L22" i="2"/>
  <c r="S16" i="17"/>
  <c r="AH14" i="16"/>
  <c r="S17" i="17"/>
  <c r="X19" i="16"/>
  <c r="AO14" i="21"/>
  <c r="U9" i="17"/>
  <c r="U31" i="17" s="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BE17" i="13"/>
  <c r="BF29" i="11"/>
  <c r="BH16" i="11"/>
  <c r="T9" i="11"/>
  <c r="X13" i="16"/>
  <c r="V9" i="16"/>
  <c r="V10" i="16"/>
  <c r="L20" i="2"/>
  <c r="X10" i="21"/>
  <c r="L12" i="2"/>
  <c r="X22" i="16"/>
  <c r="X12" i="17"/>
  <c r="BH22" i="11"/>
  <c r="BL17" i="11"/>
  <c r="BJ17" i="11"/>
  <c r="BL22" i="11"/>
  <c r="Q16" i="17"/>
  <c r="BK20" i="11"/>
  <c r="BF12" i="11"/>
  <c r="AZ11" i="11"/>
  <c r="BV20" i="16"/>
  <c r="BU13" i="17"/>
  <c r="S21" i="17"/>
  <c r="BV11" i="16"/>
  <c r="BV21" i="16"/>
  <c r="BV13" i="16"/>
  <c r="BU25" i="17"/>
  <c r="AP18" i="20"/>
  <c r="BK18" i="11"/>
  <c r="R18" i="20"/>
  <c r="R23" i="20" s="1"/>
  <c r="BG9" i="11"/>
  <c r="BI16" i="11"/>
  <c r="BJ21" i="11"/>
  <c r="BK19" i="11"/>
  <c r="P18" i="17"/>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<sst xmlns="http://schemas.openxmlformats.org/spreadsheetml/2006/main" count="2682" uniqueCount="1193">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</sst>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lNKqlhDgQxMbOODB4omwq7rEttiVLj5ZIYHMz7K7IR8C07AIRTQBWZqrtMeZlmyvHhe4v9JoALnuDH/XJfYAw==" saltValue="/ELJ4577pYc9+HKkD5N1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17.205128205128204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239</v>
      </c>
      <c r="D17" s="239">
        <f>IF(ISNUMBER(IF(D_I="SI",Datos!I17,Datos!I17+Datos!AC17)),IF(D_I="SI",Datos!I17,Datos!I17+Datos!AC17)," - ")</f>
        <v>239</v>
      </c>
      <c r="E17" s="240">
        <f>IF(ISNUMBER(IF(D_I="SI",Datos!J17,Datos!J17+Datos!AD17)),IF(D_I="SI",Datos!J17,Datos!J17+Datos!AD17)," - ")</f>
        <v>156</v>
      </c>
      <c r="F17" s="240">
        <f>IF(ISNUMBER(IF(D_I="SI",Datos!K17,Datos!K17+Datos!AE17)),IF(D_I="SI",Datos!K17,Datos!K17+Datos!AE17)," - ")</f>
        <v>125</v>
      </c>
      <c r="G17" s="1390" t="str">
        <f>IF(Datos!E17&lt;&gt;"",Datos!E17,Datos!D17)</f>
        <v>04</v>
      </c>
      <c r="H17" s="241">
        <f>IF(ISNUMBER(IF(D_I="SI",Datos!L17,Datos!L17+Datos!AF17)),IF(D_I="SI",Datos!L17,Datos!L17+Datos!AF17)," - ")</f>
        <v>270</v>
      </c>
      <c r="I17" s="1400" t="str">
        <f>IF(ISNUMBER(Datos!AS17/Datos!BM17),Datos!AS17/Datos!BM17," - ")</f>
        <v xml:space="preserve"> - </v>
      </c>
      <c r="J17" s="1401">
        <f>IF(ISNUMBER(Datos!BY17/Datos!CN17),Datos!BY17/Datos!CN17," - ")</f>
        <v>0</v>
      </c>
      <c r="K17" s="244">
        <f t="shared" si="3"/>
        <v>0.1297071129707113</v>
      </c>
      <c r="L17" s="1402">
        <f>IF(ISNUMBER(NºAsuntos!I17/NºAsuntos!G17),(NºAsuntos!I17/NºAsuntos!G17)*11," - ")</f>
        <v>23.76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74.25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266</v>
      </c>
      <c r="D23" s="1407">
        <f>SUBTOTAL(9,D16:D22)</f>
        <v>266</v>
      </c>
      <c r="E23" s="1408">
        <f>SUBTOTAL(9,E16:E22)</f>
        <v>160</v>
      </c>
      <c r="F23" s="1408">
        <f>SUBTOTAL(9,F16:F22)</f>
        <v>129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266</v>
      </c>
      <c r="D31" s="1435">
        <f>SUBTOTAL(9,D9:D30)</f>
        <v>266</v>
      </c>
      <c r="E31" s="1436">
        <f>SUBTOTAL(9,E9:E30)</f>
        <v>161</v>
      </c>
      <c r="F31" s="1436">
        <f>SUBTOTAL(9,F9:F30)</f>
        <v>130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j4SGdPQs0SZaGKTAAHkdwDcum7PqMN8ldsOfk9vCyQy0cn8KGcfqxRW7I8NjRMkOKQe5jB/iw9Mpo/01CGdbg==" saltValue="DiVlvZB25dK4SkZBrWhc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Pe9LosVyuwqxCv3T7aP1ZvZWHDeUydylHdQcRPoMaP6qKdCyvsmZI8vwfGdpFPZB5nVK/gLnWSgy6B+gUjKeA==" saltValue="dYtQqcMUWICc/z2G7Y2+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1</v>
      </c>
      <c r="N10" s="194">
        <v>0</v>
      </c>
      <c r="O10" s="194">
        <v>0</v>
      </c>
      <c r="P10" s="194">
        <v>0</v>
      </c>
      <c r="Q10" s="194">
        <v>0</v>
      </c>
      <c r="R10" s="194">
        <v>0</v>
      </c>
      <c r="S10" s="194">
        <v>0</v>
      </c>
      <c r="T10" s="194">
        <v>2</v>
      </c>
      <c r="U10" s="194">
        <v>2</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2</v>
      </c>
      <c r="BB10" s="139">
        <f t="shared" si="0"/>
        <v>0</v>
      </c>
      <c r="BC10" s="135">
        <f t="shared" si="0"/>
        <v>1</v>
      </c>
      <c r="BD10" s="136">
        <f>IF(ISNUMBER(BA10/AZ10),BA10/AZ10," - ")</f>
        <v>1</v>
      </c>
      <c r="BE10" s="137">
        <f>IF(ISNUMBER(BB10/BA10),BB10/BA10, " - ")</f>
        <v>0</v>
      </c>
      <c r="BF10" s="137">
        <f>IF(ISNUMBER(BC10/BA10),BC10/BA10, " - ")</f>
        <v>0.5</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104</v>
      </c>
      <c r="J12" s="196">
        <v>82</v>
      </c>
      <c r="K12" s="196">
        <v>69</v>
      </c>
      <c r="L12" s="196">
        <v>117</v>
      </c>
      <c r="M12" s="196">
        <v>20</v>
      </c>
      <c r="N12" s="196">
        <v>26</v>
      </c>
      <c r="O12" s="194">
        <v>42</v>
      </c>
      <c r="P12" s="196">
        <v>19</v>
      </c>
      <c r="Q12" s="196">
        <v>11</v>
      </c>
      <c r="R12" s="196">
        <v>436</v>
      </c>
      <c r="S12" s="196">
        <v>100</v>
      </c>
      <c r="T12" s="196">
        <v>97</v>
      </c>
      <c r="U12" s="196">
        <v>88</v>
      </c>
      <c r="V12" s="196">
        <v>109</v>
      </c>
      <c r="W12" s="196">
        <v>32</v>
      </c>
      <c r="X12" s="202">
        <v>49</v>
      </c>
      <c r="Y12" s="204">
        <v>0</v>
      </c>
      <c r="Z12" s="194">
        <v>14</v>
      </c>
      <c r="AA12" s="194">
        <v>9</v>
      </c>
      <c r="AB12" s="194">
        <v>5</v>
      </c>
      <c r="AC12" s="196">
        <v>0</v>
      </c>
      <c r="AD12" s="196">
        <v>0</v>
      </c>
      <c r="AE12" s="196">
        <v>0</v>
      </c>
      <c r="AF12" s="202">
        <v>0</v>
      </c>
      <c r="AG12" s="215">
        <v>6</v>
      </c>
      <c r="AH12" s="196">
        <v>10</v>
      </c>
      <c r="AI12" s="196">
        <v>16</v>
      </c>
      <c r="AJ12" s="216">
        <v>0</v>
      </c>
      <c r="AK12" s="195">
        <v>0</v>
      </c>
      <c r="AL12" s="196">
        <v>0</v>
      </c>
      <c r="AM12" s="196">
        <v>0</v>
      </c>
      <c r="AN12" s="202">
        <v>0</v>
      </c>
      <c r="AO12" s="283">
        <v>1</v>
      </c>
      <c r="AP12" s="168">
        <v>1</v>
      </c>
      <c r="AQ12" s="168">
        <v>1</v>
      </c>
      <c r="AR12" s="167">
        <v>1</v>
      </c>
      <c r="AS12" s="381" t="s">
        <v>1075</v>
      </c>
      <c r="AT12" s="216"/>
      <c r="AU12" s="215"/>
      <c r="AV12" s="216"/>
      <c r="AW12" s="215"/>
      <c r="AX12" s="216"/>
      <c r="AY12" s="136">
        <f t="shared" si="1"/>
        <v>106</v>
      </c>
      <c r="AZ12" s="137">
        <f t="shared" si="1"/>
        <v>107</v>
      </c>
      <c r="BA12" s="137">
        <f t="shared" si="1"/>
        <v>104</v>
      </c>
      <c r="BB12" s="137">
        <f t="shared" si="1"/>
        <v>109</v>
      </c>
      <c r="BC12" s="135">
        <f>IF(ISNUMBER(X12),X12," - ")</f>
        <v>49</v>
      </c>
      <c r="BD12" s="136">
        <f t="shared" si="2"/>
        <v>0.9719626168224299</v>
      </c>
      <c r="BE12" s="137">
        <f t="shared" si="3"/>
        <v>1.0480769230769231</v>
      </c>
      <c r="BF12" s="137">
        <f t="shared" si="4"/>
        <v>0.47115384615384615</v>
      </c>
      <c r="BG12" s="209">
        <f t="shared" si="5"/>
        <v>2.0480769230769229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104</v>
      </c>
      <c r="J14" s="197">
        <f t="shared" si="7"/>
        <v>83</v>
      </c>
      <c r="K14" s="197">
        <f t="shared" si="7"/>
        <v>70</v>
      </c>
      <c r="L14" s="197">
        <f t="shared" si="7"/>
        <v>117</v>
      </c>
      <c r="M14" s="197">
        <f t="shared" si="7"/>
        <v>21</v>
      </c>
      <c r="N14" s="197">
        <f t="shared" si="7"/>
        <v>26</v>
      </c>
      <c r="O14" s="197">
        <f t="shared" si="7"/>
        <v>42</v>
      </c>
      <c r="P14" s="197">
        <f t="shared" si="7"/>
        <v>19</v>
      </c>
      <c r="Q14" s="197">
        <f t="shared" si="7"/>
        <v>11</v>
      </c>
      <c r="R14" s="197">
        <f t="shared" si="7"/>
        <v>436</v>
      </c>
      <c r="S14" s="197">
        <f t="shared" si="7"/>
        <v>100</v>
      </c>
      <c r="T14" s="197">
        <f t="shared" si="7"/>
        <v>99</v>
      </c>
      <c r="U14" s="197">
        <f t="shared" si="7"/>
        <v>90</v>
      </c>
      <c r="V14" s="197">
        <f t="shared" si="7"/>
        <v>109</v>
      </c>
      <c r="W14" s="197">
        <f t="shared" si="7"/>
        <v>33</v>
      </c>
      <c r="X14" s="197">
        <f t="shared" si="7"/>
        <v>49</v>
      </c>
      <c r="Y14" s="197">
        <f t="shared" si="7"/>
        <v>0</v>
      </c>
      <c r="Z14" s="197">
        <f t="shared" si="7"/>
        <v>14</v>
      </c>
      <c r="AA14" s="197">
        <f t="shared" si="7"/>
        <v>9</v>
      </c>
      <c r="AB14" s="197">
        <f t="shared" si="7"/>
        <v>5</v>
      </c>
      <c r="AC14" s="197">
        <f t="shared" si="7"/>
        <v>0</v>
      </c>
      <c r="AD14" s="197">
        <f t="shared" si="7"/>
        <v>0</v>
      </c>
      <c r="AE14" s="197">
        <f t="shared" si="7"/>
        <v>0</v>
      </c>
      <c r="AF14" s="197">
        <f>SUBTOTAL(9,AF9:AF13)</f>
        <v>0</v>
      </c>
      <c r="AG14" s="197">
        <f t="shared" ref="AG14:AT14" si="8">SUBTOTAL(9,AG8:AG13)</f>
        <v>6</v>
      </c>
      <c r="AH14" s="197">
        <f t="shared" si="8"/>
        <v>10</v>
      </c>
      <c r="AI14" s="197">
        <f t="shared" si="8"/>
        <v>16</v>
      </c>
      <c r="AJ14" s="197">
        <f t="shared" si="8"/>
        <v>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106</v>
      </c>
      <c r="AZ14" s="197">
        <f>SUBTOTAL(9,AZ8:AZ13)</f>
        <v>109</v>
      </c>
      <c r="BA14" s="197">
        <f>SUBTOTAL(9,BA8:BA13)</f>
        <v>106</v>
      </c>
      <c r="BB14" s="197">
        <f>SUBTOTAL(9,BB8:BB13)</f>
        <v>109</v>
      </c>
      <c r="BC14" s="197">
        <f>SUBTOTAL(9,BC8:BC13)</f>
        <v>50</v>
      </c>
      <c r="BD14" s="219">
        <f>IF(ISNUMBER(BA14/AZ14),BA14/AZ14," - ")</f>
        <v>0.97247706422018354</v>
      </c>
      <c r="BE14" s="220">
        <f>IF(ISNUMBER(BB14/BA14),BB14/BA14, " - ")</f>
        <v>1.0283018867924529</v>
      </c>
      <c r="BF14" s="220">
        <f>IF(ISNUMBER(BC14/BA14),BC14/BA14, " - ")</f>
        <v>0.47169811320754718</v>
      </c>
      <c r="BG14" s="221">
        <f>IF(ISNUMBER((AY14+AZ14)/BA14),(AY14+AZ14)/BA14," - ")</f>
        <v>2.0283018867924527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239</v>
      </c>
      <c r="J17" s="196">
        <v>156</v>
      </c>
      <c r="K17" s="196">
        <v>125</v>
      </c>
      <c r="L17" s="196">
        <v>270</v>
      </c>
      <c r="M17" s="196">
        <v>14</v>
      </c>
      <c r="N17" s="196">
        <v>80</v>
      </c>
      <c r="O17" s="194">
        <v>0</v>
      </c>
      <c r="P17" s="196">
        <v>3</v>
      </c>
      <c r="Q17" s="196">
        <v>1</v>
      </c>
      <c r="R17" s="196">
        <v>20</v>
      </c>
      <c r="S17" s="196">
        <v>287</v>
      </c>
      <c r="T17" s="196">
        <v>96</v>
      </c>
      <c r="U17" s="196">
        <v>205</v>
      </c>
      <c r="V17" s="196">
        <v>178</v>
      </c>
      <c r="W17" s="196">
        <v>19</v>
      </c>
      <c r="X17" s="202">
        <v>149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287</v>
      </c>
      <c r="AZ17" s="137">
        <f t="shared" si="10"/>
        <v>96</v>
      </c>
      <c r="BA17" s="137">
        <f t="shared" si="10"/>
        <v>205</v>
      </c>
      <c r="BB17" s="137">
        <f t="shared" si="10"/>
        <v>178</v>
      </c>
      <c r="BC17" s="135">
        <f>IF(ISNUMBER(W17),W17," - ")</f>
        <v>19</v>
      </c>
      <c r="BD17" s="136">
        <f t="shared" ref="BD17:BD22" si="12">IF(ISNUMBER(BA17/AZ17),BA17/AZ17," - ")</f>
        <v>2.1354166666666665</v>
      </c>
      <c r="BE17" s="137">
        <f t="shared" ref="BE17:BE22" si="13">IF(ISNUMBER(BB17/BA17),BB17/BA17, " - ")</f>
        <v>0.86829268292682926</v>
      </c>
      <c r="BF17" s="137">
        <f t="shared" ref="BF17:BF22" si="14">IF(ISNUMBER(BC17/BA17),BC17/BA17, " - ")</f>
        <v>9.2682926829268292E-2</v>
      </c>
      <c r="BG17" s="209">
        <f t="shared" si="11"/>
        <v>1.8682926829268294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4</v>
      </c>
      <c r="K18" s="196">
        <v>4</v>
      </c>
      <c r="L18" s="196">
        <v>27</v>
      </c>
      <c r="M18" s="196">
        <v>0</v>
      </c>
      <c r="N18" s="196">
        <v>4</v>
      </c>
      <c r="O18" s="196">
        <v>0</v>
      </c>
      <c r="P18" s="196">
        <v>0</v>
      </c>
      <c r="Q18" s="196">
        <v>0</v>
      </c>
      <c r="R18" s="196">
        <v>0</v>
      </c>
      <c r="S18" s="196">
        <v>17</v>
      </c>
      <c r="T18" s="196">
        <v>8</v>
      </c>
      <c r="U18" s="196">
        <v>7</v>
      </c>
      <c r="V18" s="196">
        <v>18</v>
      </c>
      <c r="W18" s="196">
        <v>1</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8</v>
      </c>
      <c r="BA18" s="139">
        <f t="shared" si="15"/>
        <v>7</v>
      </c>
      <c r="BB18" s="139">
        <f t="shared" si="15"/>
        <v>18</v>
      </c>
      <c r="BC18" s="135">
        <f>IF(ISNUMBER(W18),W18," - ")</f>
        <v>1</v>
      </c>
      <c r="BD18" s="136">
        <f>IF(ISNUMBER(BA18/AZ18),BA18/AZ18," - ")</f>
        <v>0.875</v>
      </c>
      <c r="BE18" s="137">
        <f>IF(ISNUMBER(BB18/BA18),BB18/BA18, " - ")</f>
        <v>2.5714285714285716</v>
      </c>
      <c r="BF18" s="137">
        <f>IF(ISNUMBER(BC18/BA18),BC18/BA18, " - ")</f>
        <v>0.14285714285714285</v>
      </c>
      <c r="BG18" s="209">
        <f>IF(ISNUMBER((AY18+AZ18)/BA18),(AY18+AZ18)/BA18," - ")</f>
        <v>3.5714285714285716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266</v>
      </c>
      <c r="J23" s="197">
        <f t="shared" si="21"/>
        <v>160</v>
      </c>
      <c r="K23" s="197">
        <f t="shared" si="21"/>
        <v>129</v>
      </c>
      <c r="L23" s="197">
        <f t="shared" si="21"/>
        <v>297</v>
      </c>
      <c r="M23" s="197">
        <f t="shared" si="21"/>
        <v>14</v>
      </c>
      <c r="N23" s="197">
        <f t="shared" si="21"/>
        <v>84</v>
      </c>
      <c r="O23" s="197">
        <f t="shared" si="21"/>
        <v>0</v>
      </c>
      <c r="P23" s="197">
        <f t="shared" si="21"/>
        <v>3</v>
      </c>
      <c r="Q23" s="197">
        <f t="shared" si="21"/>
        <v>1</v>
      </c>
      <c r="R23" s="197">
        <f t="shared" si="21"/>
        <v>20</v>
      </c>
      <c r="S23" s="197">
        <f t="shared" si="21"/>
        <v>304</v>
      </c>
      <c r="T23" s="197">
        <f t="shared" si="21"/>
        <v>104</v>
      </c>
      <c r="U23" s="197">
        <f t="shared" si="21"/>
        <v>212</v>
      </c>
      <c r="V23" s="197">
        <f t="shared" si="21"/>
        <v>196</v>
      </c>
      <c r="W23" s="197">
        <f t="shared" si="21"/>
        <v>20</v>
      </c>
      <c r="X23" s="197">
        <f t="shared" si="21"/>
        <v>153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304</v>
      </c>
      <c r="AZ23" s="197">
        <f>SUBTOTAL(9,AZ15:AZ22)</f>
        <v>104</v>
      </c>
      <c r="BA23" s="197">
        <f>SUBTOTAL(9,BA15:BA22)</f>
        <v>212</v>
      </c>
      <c r="BB23" s="197">
        <f>SUBTOTAL(9,BB15:BB22)</f>
        <v>196</v>
      </c>
      <c r="BC23" s="197">
        <f>SUBTOTAL(9,BC15:BC22)</f>
        <v>20</v>
      </c>
      <c r="BD23" s="219">
        <f>IF(ISNUMBER(BA23/AZ23),BA23/AZ23," - ")</f>
        <v>2.0384615384615383</v>
      </c>
      <c r="BE23" s="220">
        <f>IF(ISNUMBER(BB23/BA23),BB23/BA23, " - ")</f>
        <v>0.92452830188679247</v>
      </c>
      <c r="BF23" s="220">
        <f>IF(ISNUMBER(BC23/BA23),BC23/BA23, " - ")</f>
        <v>9.4339622641509441E-2</v>
      </c>
      <c r="BG23" s="221">
        <f>IF(ISNUMBER((AY23+AZ23)/BA23),(AY23+AZ23)/BA23," - ")</f>
        <v>1.9245283018867925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370</v>
      </c>
      <c r="J31" s="144">
        <f t="shared" si="36"/>
        <v>243</v>
      </c>
      <c r="K31" s="144">
        <f t="shared" si="36"/>
        <v>199</v>
      </c>
      <c r="L31" s="144">
        <f t="shared" si="36"/>
        <v>414</v>
      </c>
      <c r="M31" s="144">
        <f t="shared" si="36"/>
        <v>35</v>
      </c>
      <c r="N31" s="144">
        <f t="shared" si="36"/>
        <v>110</v>
      </c>
      <c r="O31" s="144">
        <f t="shared" si="36"/>
        <v>42</v>
      </c>
      <c r="P31" s="144">
        <f t="shared" si="36"/>
        <v>22</v>
      </c>
      <c r="Q31" s="144">
        <f t="shared" si="36"/>
        <v>12</v>
      </c>
      <c r="R31" s="144">
        <f t="shared" si="36"/>
        <v>456</v>
      </c>
      <c r="S31" s="144">
        <f t="shared" si="36"/>
        <v>404</v>
      </c>
      <c r="T31" s="144">
        <f t="shared" si="36"/>
        <v>203</v>
      </c>
      <c r="U31" s="144">
        <f t="shared" si="36"/>
        <v>302</v>
      </c>
      <c r="V31" s="144">
        <f t="shared" si="36"/>
        <v>305</v>
      </c>
      <c r="W31" s="144">
        <f t="shared" si="36"/>
        <v>53</v>
      </c>
      <c r="X31" s="144">
        <f t="shared" si="36"/>
        <v>202</v>
      </c>
      <c r="Y31" s="144">
        <f t="shared" si="36"/>
        <v>0</v>
      </c>
      <c r="Z31" s="144">
        <f t="shared" si="36"/>
        <v>14</v>
      </c>
      <c r="AA31" s="144">
        <f t="shared" si="36"/>
        <v>9</v>
      </c>
      <c r="AB31" s="144">
        <f t="shared" si="36"/>
        <v>5</v>
      </c>
      <c r="AC31" s="144">
        <f t="shared" si="36"/>
        <v>0</v>
      </c>
      <c r="AD31" s="144">
        <f t="shared" si="36"/>
        <v>0</v>
      </c>
      <c r="AE31" s="144">
        <f t="shared" si="36"/>
        <v>0</v>
      </c>
      <c r="AF31" s="144">
        <f t="shared" si="36"/>
        <v>0</v>
      </c>
      <c r="AG31" s="144">
        <f t="shared" si="36"/>
        <v>6</v>
      </c>
      <c r="AH31" s="144">
        <f t="shared" si="36"/>
        <v>10</v>
      </c>
      <c r="AI31" s="144">
        <f t="shared" si="36"/>
        <v>16</v>
      </c>
      <c r="AJ31" s="144">
        <f t="shared" si="36"/>
        <v>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410</v>
      </c>
      <c r="AZ31" s="144">
        <f>SUBTOTAL(9,AZ9:AZ30)</f>
        <v>213</v>
      </c>
      <c r="BA31" s="144">
        <f>SUBTOTAL(9,BA9:BA30)</f>
        <v>318</v>
      </c>
      <c r="BB31" s="144">
        <f>SUBTOTAL(9,BB9:BB30)</f>
        <v>305</v>
      </c>
      <c r="BC31" s="145">
        <f>SUBTOTAL(9,BC9:BC30)</f>
        <v>70</v>
      </c>
      <c r="BD31" s="227">
        <f>IF(ISNUMBER(BA31/AZ31),BA31/AZ31," - ")</f>
        <v>1.4929577464788732</v>
      </c>
      <c r="BE31" s="224">
        <f>IF(ISNUMBER(BB31/BA31),BB31/BA31, " - ")</f>
        <v>0.95911949685534592</v>
      </c>
      <c r="BF31" s="224">
        <f>IF(ISNUMBER(BC31/BA31),BC31/BA31, " - ")</f>
        <v>0.22012578616352202</v>
      </c>
      <c r="BG31" s="145">
        <f>IF(ISNUMBER((AY31+AZ31)/BA31),(AY31+AZ31)/BA31," - ")</f>
        <v>1.9591194968553458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3wXQ5Z/pioCt+aEGn18Tk6TnPe2UdPBKN6siCftVxMCd/n22qNUotYTlkSC/j7tyydlj5E5SdJmKjucYwiZA==" saltValue="duMjZdqSexmxcjeXQ6eX8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6nGnicl0pq4F9DimC98O7InVBDJECWvAPJOh2ASFNbUWy2ZXDkHU6M59PHGID0+Xo9v1hviov9uAY7288R+EQ==" saltValue="3elTCofqIA3BuzLWESk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ALMAZAN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436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0.8125</v>
      </c>
      <c r="BH12" s="764">
        <f>IF(ISNUMBER(((IF(J_V="SI",Datos!L12/Datos!K12,(Datos!L12+Datos!AB12)/(Datos!K12+Datos!AA12)))*11)/factor_trimestre),((IF(J_V="SI",Datos!L12/Datos!K12,(Datos!L12+Datos!AB12)/(Datos!K12+Datos!AA12)))*11)/factor_trimestre," - ")</f>
        <v>4.6923076923076925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1.8691588785046728E-2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11</v>
      </c>
      <c r="AD14" s="1198">
        <f t="shared" si="2"/>
        <v>0</v>
      </c>
      <c r="AE14" s="1198">
        <f t="shared" si="2"/>
        <v>0</v>
      </c>
      <c r="AF14" s="1198">
        <f t="shared" si="2"/>
        <v>0</v>
      </c>
      <c r="AG14" s="1198">
        <f t="shared" si="2"/>
        <v>0</v>
      </c>
      <c r="AH14" s="1198">
        <f t="shared" si="2"/>
        <v>5</v>
      </c>
      <c r="AI14" s="1198">
        <f t="shared" si="2"/>
        <v>0</v>
      </c>
      <c r="AJ14" s="1198">
        <f t="shared" si="2"/>
        <v>0</v>
      </c>
      <c r="AK14" s="1198">
        <f t="shared" si="2"/>
        <v>0</v>
      </c>
      <c r="AL14" s="1198">
        <f t="shared" si="2"/>
        <v>0</v>
      </c>
      <c r="AM14" s="1198">
        <f t="shared" si="2"/>
        <v>436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v>
      </c>
      <c r="BD14" s="1198">
        <f t="shared" si="2"/>
        <v>26</v>
      </c>
      <c r="BE14" s="1198">
        <f t="shared" si="2"/>
        <v>0</v>
      </c>
      <c r="BF14" s="1198">
        <f t="shared" si="2"/>
        <v>0</v>
      </c>
      <c r="BG14" s="1198">
        <f>IF(ISNUMBER(Datos!K14/Datos!J14),Datos!K14/Datos!J14," - ")</f>
        <v>0.84337349397590367</v>
      </c>
      <c r="BH14" s="1202">
        <f>IF(ISNUMBER(((Datos!L14/Datos!K14)*11)/factor_trimestre),((Datos!L14/Datos!K14)*11)/factor_trimestre," - ")</f>
        <v>5.0142857142857142</v>
      </c>
      <c r="BI14" s="1198">
        <f>IF(ISNUMBER('Resol  Asuntos'!D14/NºAsuntos!G14),'Resol  Asuntos'!D14/NºAsuntos!G14," - ")</f>
        <v>0.26582278481012656</v>
      </c>
      <c r="BJ14" s="1198" t="str">
        <f>IF(ISNUMBER(Datos!CI14/Datos!CJ14),Datos!CI14/Datos!CJ14," - ")</f>
        <v xml:space="preserve"> - </v>
      </c>
      <c r="BK14" s="1198">
        <f>SUBTOTAL(9,BK8:BK13)</f>
        <v>0</v>
      </c>
      <c r="BL14" s="1198" t="str">
        <f>IF(ISNUMBER((I14-AB14+L14)/(F14)),(I14-AB14+L14)/(F14)," - ")</f>
        <v xml:space="preserve"> - </v>
      </c>
      <c r="BM14" s="1203">
        <f>SUBTOTAL(9,BM9:BM13)</f>
        <v>1.8691588785046728E-2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239</v>
      </c>
      <c r="G17" s="743">
        <f>IF(ISNUMBER(IF(D_I="SI",Datos!I17,Datos!I17+Datos!AC17)),IF(D_I="SI",Datos!I17,Datos!I17+Datos!AC17)," - ")</f>
        <v>239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v>
      </c>
      <c r="AC17" s="240">
        <f>IF(ISNUMBER(Datos!Q17),Datos!Q17," - ")</f>
        <v>1</v>
      </c>
      <c r="AD17" s="374"/>
      <c r="AE17" s="562"/>
      <c r="AF17" s="741">
        <f>IF(ISNUMBER(IF(D_I="SI",Datos!L17,Datos!L17+Datos!AF17)),IF(D_I="SI",Datos!L17,Datos!L17+Datos!AF17)," - ")</f>
        <v>270</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0.80128205128205132</v>
      </c>
      <c r="BH17" s="764">
        <f>IF(ISNUMBER(((IF(D_I="SI",Datos!L17/Datos!K17,(Datos!L17+Datos!AF17)/(Datos!K17+Datos!AE17)))*11)/factor_trimestre),((IF(D_I="SI",Datos!L17/Datos!K17,(Datos!L17+Datos!AF17)/(Datos!K17+Datos!AE17)))*11)/factor_trimestre," - ")</f>
        <v>6.48</v>
      </c>
      <c r="BI17" s="266">
        <f>IF(ISNUMBER('Resol  Asuntos'!D17/NºAsuntos!G17),'Resol  Asuntos'!D17/NºAsuntos!G17," - ")</f>
        <v>0.112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20.25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239</v>
      </c>
      <c r="G23" s="1197">
        <f>SUBTOTAL(9,G16:G22)</f>
        <v>266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v>
      </c>
      <c r="AC23" s="1198">
        <f t="shared" si="5"/>
        <v>1</v>
      </c>
      <c r="AD23" s="1198">
        <f t="shared" si="5"/>
        <v>0</v>
      </c>
      <c r="AE23" s="1198">
        <f t="shared" si="5"/>
        <v>0</v>
      </c>
      <c r="AF23" s="1198">
        <f t="shared" si="5"/>
        <v>297</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84</v>
      </c>
      <c r="BE23" s="1198">
        <f t="shared" si="5"/>
        <v>0</v>
      </c>
      <c r="BF23" s="1198">
        <f t="shared" si="5"/>
        <v>0</v>
      </c>
      <c r="BG23" s="1198">
        <f>IF(ISNUMBER(Datos!K23/Datos!J23),Datos!K23/Datos!J23," - ")</f>
        <v>0.80625000000000002</v>
      </c>
      <c r="BH23" s="1202">
        <f>IF(ISNUMBER(((Datos!L23/Datos!K23)*11)/factor_trimestre),((Datos!L23/Datos!K23)*11)/factor_trimestre," - ")</f>
        <v>6.9069767441860472</v>
      </c>
      <c r="BI23" s="1198">
        <f>SUBTOTAL(9,BI16:BI22)</f>
        <v>0.112</v>
      </c>
      <c r="BJ23" s="1198">
        <f>SUBTOTAL(9,BJ16:BJ22)</f>
        <v>0</v>
      </c>
      <c r="BK23" s="1198">
        <f>SUBTOTAL(9,BK16:BK22)</f>
        <v>0</v>
      </c>
      <c r="BL23" s="1198">
        <f>IF(ISNUMBER((I23-AB23+L23)/(F23)),(I23-AB23+L23)/(F23)," - ")</f>
        <v>-0.53974895397489542</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239</v>
      </c>
      <c r="G31" s="1117">
        <f t="shared" si="18"/>
        <v>266</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130</v>
      </c>
      <c r="AC31" s="1118">
        <f t="shared" si="19"/>
        <v>12</v>
      </c>
      <c r="AD31" s="1118">
        <f t="shared" si="19"/>
        <v>0</v>
      </c>
      <c r="AE31" s="1118">
        <f t="shared" si="19"/>
        <v>0</v>
      </c>
      <c r="AF31" s="1125">
        <f t="shared" si="19"/>
        <v>297</v>
      </c>
      <c r="AG31" s="1125">
        <f t="shared" si="19"/>
        <v>0</v>
      </c>
      <c r="AH31" s="1125">
        <f t="shared" si="19"/>
        <v>5</v>
      </c>
      <c r="AI31" s="1125">
        <f t="shared" si="19"/>
        <v>0</v>
      </c>
      <c r="AJ31" s="1118">
        <f t="shared" si="19"/>
        <v>0</v>
      </c>
      <c r="AK31" s="1125">
        <f t="shared" si="19"/>
        <v>0</v>
      </c>
      <c r="AL31" s="1125">
        <f t="shared" si="19"/>
        <v>0</v>
      </c>
      <c r="AM31" s="1125">
        <f t="shared" si="19"/>
        <v>456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v>
      </c>
      <c r="BD31" s="1117">
        <f t="shared" si="19"/>
        <v>110</v>
      </c>
      <c r="BE31" s="1117">
        <f t="shared" si="19"/>
        <v>0</v>
      </c>
      <c r="BF31" s="1127">
        <f t="shared" si="19"/>
        <v>0</v>
      </c>
      <c r="BG31" s="1223">
        <f>IF(ISNUMBER(Datos!K31/Datos!J31),Datos!K31/Datos!J31," - ")</f>
        <v>0.81893004115226342</v>
      </c>
      <c r="BH31" s="1223">
        <f>IF(ISNUMBER(((Datos!L31/Datos!K31)*11)/factor_trimestre),((Datos!L31/Datos!K31)*11)/factor_trimestre," - ")</f>
        <v>6.2412060301507539</v>
      </c>
      <c r="BI31" s="1103">
        <f>IF(ISNUMBER(Datos!J31/Datos!I31),Datos!J31/Datos!I31," - ")</f>
        <v>0.65675675675675671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-0.54393305439330542</v>
      </c>
      <c r="BM31" s="1188">
        <f>IF(ISNUMBER((Datos!P31-Datos!Q31+R31)/(Datos!R31-Datos!P31+Datos!Q31-R31)),(Datos!P31-Datos!Q31+R31)/(Datos!R31-Datos!P31+Datos!Q31-R31)," - ")</f>
        <v>2.2421524663677129E-2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123.41906929914302</v>
      </c>
      <c r="G33" s="674">
        <f>IF(ISNUMBER(STDEV(G8:G30)),STDEV(G8:G30),"-")</f>
        <v>121.2256848471753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61.409631631714397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9.4226171675238035</v>
      </c>
      <c r="BD33" s="673"/>
      <c r="BE33" s="673">
        <f>IF(ISNUMBER(STDEV(BE8:BE30)),STDEV(BE8:BE30),"-")</f>
        <v>0</v>
      </c>
      <c r="BF33" s="678">
        <f>IF(ISNUMBER(STDEV(BF8:BF30)),STDEV(BF8:BF30),"-")</f>
        <v>0</v>
      </c>
      <c r="BG33" s="1052">
        <f>IF(ISNUMBER(STDEV(BG8:BG30)),STDEV(BG8:BG30),"-")</f>
        <v>9.6215833318496799E-2</v>
      </c>
      <c r="BH33" s="1058">
        <f>IF(ISNUMBER(STDEV(BH8:BH30)),STDEV(BH8:BH30),"-")</f>
        <v>6.8382628624417485</v>
      </c>
      <c r="BI33" s="273">
        <f>IF(ISNUMBER(STDEV(BI8:BI30)),STDEV(BI8:BI30),"-")</f>
        <v>0.10919121270264681</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xeqSBKAjis0WXGOG7QhZu/YyrXCuiyjr01T7X3wbqaze7C0v0lRZ3j6LW84ZDGq9S2U0eWKiH73fObtD0nD1Q==" saltValue="Coq7fVJFU7pc7AIhnJNh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ALMAZAN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436</v>
      </c>
      <c r="AF12" s="693" t="str">
        <f>IF(ISNUMBER(Datos!BV12),Datos!BV12," - ")</f>
        <v xml:space="preserve"> - </v>
      </c>
      <c r="AG12" s="552" t="str">
        <f>IF(ISNUMBER(Datos!DV12),Datos!DV12," - ")</f>
        <v xml:space="preserve"> - </v>
      </c>
      <c r="AH12" s="553"/>
      <c r="AI12" s="554"/>
      <c r="AJ12" s="552">
        <f>IF(ISNUMBER(Datos!M12),Datos!M12," - ")</f>
        <v>20</v>
      </c>
      <c r="AK12" s="693">
        <f>IF(ISNUMBER(Datos!N12),Datos!N12," - ")</f>
        <v>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4.6923076923076925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1.8691588785046728E-2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11</v>
      </c>
      <c r="AA14" s="1199">
        <f t="shared" si="3"/>
        <v>0</v>
      </c>
      <c r="AB14" s="1199">
        <f t="shared" si="3"/>
        <v>0</v>
      </c>
      <c r="AC14" s="1199">
        <f t="shared" si="3"/>
        <v>0</v>
      </c>
      <c r="AD14" s="1199">
        <f t="shared" si="3"/>
        <v>0</v>
      </c>
      <c r="AE14" s="1199">
        <f t="shared" si="3"/>
        <v>436</v>
      </c>
      <c r="AF14" s="1211">
        <f t="shared" si="3"/>
        <v>0</v>
      </c>
      <c r="AG14" s="1211">
        <f t="shared" si="3"/>
        <v>0</v>
      </c>
      <c r="AH14" s="1211">
        <f t="shared" si="3"/>
        <v>0</v>
      </c>
      <c r="AI14" s="1211">
        <f t="shared" si="3"/>
        <v>0</v>
      </c>
      <c r="AJ14" s="1211">
        <f t="shared" si="3"/>
        <v>21</v>
      </c>
      <c r="AK14" s="1211">
        <f t="shared" si="3"/>
        <v>26</v>
      </c>
      <c r="AL14" s="1211">
        <f t="shared" si="3"/>
        <v>0</v>
      </c>
      <c r="AM14" s="1211">
        <f t="shared" si="3"/>
        <v>0</v>
      </c>
      <c r="AN14" s="1211">
        <f t="shared" si="3"/>
        <v>0</v>
      </c>
      <c r="AO14" s="1203">
        <f>IF(ISNUMBER(((NºAsuntos!I14/NºAsuntos!G14)*11)/factor_trimestre),((NºAsuntos!I14/NºAsuntos!G14)*11)/factor_trimestre," - ")</f>
        <v>4.632911392405064</v>
      </c>
      <c r="AP14" s="1213" t="str">
        <f>IF(ISNUMBER(Datos!CI14/Datos!CJ14),Datos!CI14/Datos!CJ14," - ")</f>
        <v xml:space="preserve"> - </v>
      </c>
      <c r="AQ14" s="1236">
        <f t="shared" ref="AQ14:AV14" si="4">SUBTOTAL(9,AQ9:AQ13)</f>
        <v>0</v>
      </c>
      <c r="AR14" s="1236">
        <f t="shared" si="4"/>
        <v>1.8691588785046728E-2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239</v>
      </c>
      <c r="G17" s="552">
        <f>IF(ISNUMBER(IF(D_I="SI",Datos!I17,Datos!I17+Datos!AC17)),IF(D_I="SI",Datos!I17,Datos!I17+Datos!AC17)," - ")</f>
        <v>239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v>
      </c>
      <c r="Z17" s="805">
        <f>IF(ISNUMBER(Datos!Q17),Datos!Q17," - ")</f>
        <v>1</v>
      </c>
      <c r="AA17" s="551">
        <f>IF(ISNUMBER(IF(D_I="SI",Datos!L17,Datos!L17+Datos!AF17)),IF(D_I="SI",Datos!L17,Datos!L17+Datos!AF17)," - ")</f>
        <v>270</v>
      </c>
      <c r="AB17" s="549"/>
      <c r="AC17" s="549"/>
      <c r="AD17" s="563"/>
      <c r="AE17" s="563">
        <f>IF(ISNUMBER(Datos!R17),Datos!R17," - ")</f>
        <v>20</v>
      </c>
      <c r="AF17" s="693" t="str">
        <f>IF(ISNUMBER(Datos!BV17),Datos!BV17," - ")</f>
        <v xml:space="preserve"> - </v>
      </c>
      <c r="AG17" s="552"/>
      <c r="AH17" s="553"/>
      <c r="AI17" s="554"/>
      <c r="AJ17" s="552">
        <f>IF(ISNUMBER(Datos!M17),Datos!M17," - ")</f>
        <v>14</v>
      </c>
      <c r="AK17" s="693">
        <f>IF(ISNUMBER(Datos!N17),Datos!N17," - ")</f>
        <v>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239</v>
      </c>
      <c r="G23" s="1197">
        <f>SUBTOTAL(9,G16:G22)</f>
        <v>266</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v>
      </c>
      <c r="Z23" s="1240">
        <f t="shared" si="6"/>
        <v>1</v>
      </c>
      <c r="AA23" s="1240">
        <f t="shared" si="6"/>
        <v>297</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14</v>
      </c>
      <c r="AK23" s="1240">
        <f t="shared" si="6"/>
        <v>84</v>
      </c>
      <c r="AL23" s="1240">
        <f t="shared" si="6"/>
        <v>0</v>
      </c>
      <c r="AM23" s="1240">
        <f t="shared" si="6"/>
        <v>0</v>
      </c>
      <c r="AN23" s="1240">
        <f t="shared" si="6"/>
        <v>0</v>
      </c>
      <c r="AO23" s="1242">
        <f>IF(ISNUMBER(((NºAsuntos!I23/NºAsuntos!G23)*11)/factor_trimestre),((NºAsuntos!I23/NºAsuntos!G23)*11)/factor_trimestre," - ")</f>
        <v>6.9069767441860472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239</v>
      </c>
      <c r="G31" s="1117">
        <f t="shared" si="12"/>
        <v>266</v>
      </c>
      <c r="H31" s="1118">
        <f t="shared" si="12"/>
        <v>0</v>
      </c>
      <c r="I31" s="1117">
        <f t="shared" si="12"/>
        <v>0</v>
      </c>
      <c r="J31" s="1119">
        <f t="shared" si="12"/>
        <v>0</v>
      </c>
      <c r="K31" s="1117">
        <f t="shared" si="12"/>
        <v>0</v>
      </c>
      <c r="L31" s="1120">
        <f t="shared" si="12"/>
        <v>0</v>
      </c>
      <c r="M31" s="1117">
        <f t="shared" si="12"/>
        <v>0</v>
      </c>
      <c r="N31" s="1118">
        <f t="shared" si="12"/>
        <v>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130</v>
      </c>
      <c r="Z31" s="1124">
        <f t="shared" si="13"/>
        <v>12</v>
      </c>
      <c r="AA31" s="1125">
        <f t="shared" si="13"/>
        <v>297</v>
      </c>
      <c r="AB31" s="1125">
        <f t="shared" si="13"/>
        <v>0</v>
      </c>
      <c r="AC31" s="1125">
        <f t="shared" si="13"/>
        <v>0</v>
      </c>
      <c r="AD31" s="1126">
        <f t="shared" si="13"/>
        <v>0</v>
      </c>
      <c r="AE31" s="1126">
        <f t="shared" si="13"/>
        <v>456</v>
      </c>
      <c r="AF31" s="1127">
        <f t="shared" si="13"/>
        <v>0</v>
      </c>
      <c r="AG31" s="1128">
        <f t="shared" si="13"/>
        <v>0</v>
      </c>
      <c r="AH31" s="1129">
        <f t="shared" si="13"/>
        <v>0</v>
      </c>
      <c r="AI31" s="1127">
        <f t="shared" si="13"/>
        <v>0</v>
      </c>
      <c r="AJ31" s="1117">
        <f t="shared" si="13"/>
        <v>35</v>
      </c>
      <c r="AK31" s="1117">
        <f t="shared" si="13"/>
        <v>110</v>
      </c>
      <c r="AL31" s="1117">
        <f t="shared" si="13"/>
        <v>0</v>
      </c>
      <c r="AM31" s="1130">
        <f t="shared" si="13"/>
        <v>0</v>
      </c>
      <c r="AN31" s="1120">
        <f>IF(ISNUMBER(Datos!K31/Datos!J31),Datos!K31/Datos!J31," - ")</f>
        <v>0.81893004115226342</v>
      </c>
      <c r="AO31" s="1120">
        <f>IF(ISNUMBER(FIND("06",Criterios!A8,1)),(IF(ISNUMBER(((Datos!R31/Datos!Q31)*11)/factor_trimestre),((Datos!R31/Datos!Q31)*11)/factor_trimestre," - ")),(IF(ISNUMBER(((Datos!L31/Datos!K31)*11)/factor_trimestre),((Datos!L31/Datos!K31)*11)/factor_trimestre," - ")))</f>
        <v>6.2412060301507539</v>
      </c>
      <c r="AP31" s="1131" t="str">
        <f>IF(ISNUMBER(Datos!CI31/Datos!CJ31),Datos!CI31/Datos!CJ31," - ")</f>
        <v xml:space="preserve"> - </v>
      </c>
      <c r="AQ31" s="1131">
        <f>IF(OR(ISNUMBER(FIND("01",Criterios!A8,1)),ISNUMBER(FIND("02",Criterios!A8,1)),ISNUMBER(FIND("03",Criterios!A8,1)),ISNUMBER(FIND("04",Criterios!A8,1))),(J31-Y31+K31)/(F31-K31),(I31-Y31+K31)/(F31-K31))</f>
        <v>-0.54393305439330542</v>
      </c>
      <c r="AR31" s="1131">
        <f>IF(ISNUMBER((Datos!P31-Datos!Q31+O31)/(Datos!R31-Datos!P31+Datos!Q31-O31)),(Datos!P31-Datos!Q31+O31)/(Datos!R31-Datos!P31+Datos!Q31-O31)," - ")</f>
        <v>2.2421524663677129E-2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123.41906929914302</v>
      </c>
      <c r="G33" s="674">
        <f>IF(ISNUMBER(STDEV(G8:G30)),STDEV(G8:G30),"-")</f>
        <v>121.2256848471753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9.4226171675238035</v>
      </c>
      <c r="AK33" s="276"/>
      <c r="AL33" s="276">
        <f>IF(ISNUMBER(STDEV(AL8:AL30)),STDEV(AL8:AL30),"-")</f>
        <v>0</v>
      </c>
      <c r="AM33" s="278">
        <f>IF(ISNUMBER(STDEV(AM8:AM30)),STDEV(AM8:AM30),"-")</f>
        <v>0</v>
      </c>
      <c r="AN33" s="660">
        <f>IF(ISNUMBER(STDEV(AN8:AN30)),STDEV(AN8:AN30),"-")</f>
        <v>0</v>
      </c>
      <c r="AO33" s="661">
        <f>IF(ISNUMBER(STDEV(AO8:AO30)),STDEV(AO8:AO30),"-")</f>
        <v>6.8646311207588111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44S0VoK5pTsW0tW89FHvRXU70d3p6w1N/ZeF7uutPg2dk6DGjVmC5IkynZ8C/C6bsTEvNwHgc0p+ydrXwI+Oig==" saltValue="gFBPg4yiRTX0HmEh8XZs5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3TSEFvZzZIxma/YbQ8eOfB86VjTXANYxrs3wlxsWlHUhh6+K1AnvMsXoMNEc+mFyQrMWxOD0TOWlb3lFgCiuw==" saltValue="i+0q+r+CtwCdlyieLf18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PVBPBeH/WwYpfyV2eV/8vAkmyIMJMiq+dd2Bvzh48h0gD6039yGI5yxJDRDWI9w80kmlJiVp8Jzvh3BYRgbWQ==" saltValue="Kba+TMOut85Y9TMrYKUr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ALMAZAN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0.26582278481012656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0.18796509373313289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O+IUtryKcqoPih6T/gCKd1NOgz9rXUhpemWSEM1PQWT4hrKqss2ZdEIANGoRkV0NMr2Pf3TLucq1Q2zPJT3Q==" saltValue="AHqPYtga/KKgVH4YxkUX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WCArg0UL+Y+99xaEdMJVYJJwYiQ/6CwX9IMT8upfH3eFmLBEs6iKYVyuao07qJRkkKocUSD3vdmNfp9zJeo8w==" saltValue="MiGqF6RASOKyOOznxo8r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ALMAZAN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104</v>
      </c>
      <c r="D12" s="452">
        <f>IF(ISNUMBER(C12/Datos!BH12),C12/Datos!BH12," - ")</f>
        <v>104</v>
      </c>
      <c r="E12" s="451">
        <f>IF(ISNUMBER(IF(J_V="SI",Datos!J12,Datos!J12+Datos!Z12)),IF(J_V="SI",Datos!J12,Datos!J12+Datos!Z12)," - ")</f>
        <v>96</v>
      </c>
      <c r="F12" s="452">
        <f>IF(ISNUMBER(E12/B12),E12/B12," - ")</f>
        <v>96</v>
      </c>
      <c r="G12" s="451">
        <f>IF(ISNUMBER(IF(J_V="SI",Datos!K12,Datos!K12+Datos!AA12)),IF(J_V="SI",Datos!K12,Datos!K12+Datos!AA12)," - ")</f>
        <v>78</v>
      </c>
      <c r="H12" s="452">
        <f>IF(ISNUMBER(G12/B12),G12/B12," - ")</f>
        <v>78</v>
      </c>
      <c r="I12" s="451">
        <f>IF(ISNUMBER(IF(J_V="SI",Datos!L12,Datos!L12+Datos!AB12)),IF(J_V="SI",Datos!L12,Datos!L12+Datos!AB12)," - ")</f>
        <v>122</v>
      </c>
      <c r="J12" s="452">
        <f>IF(ISNUMBER(I12/B12),I12/B12," - ")</f>
        <v>122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104</v>
      </c>
      <c r="D14" s="1147" t="str">
        <f>IF(ISNUMBER(C14/Datos!BI14),C14/Datos!BI14," - ")</f>
        <v xml:space="preserve"> - </v>
      </c>
      <c r="E14" s="1146">
        <f>SUBTOTAL(9,E8:E13)</f>
        <v>97</v>
      </c>
      <c r="F14" s="1147">
        <f>IF(ISNUMBER(E14/B14),E14/B14," - ")</f>
        <v>97</v>
      </c>
      <c r="G14" s="1146">
        <f>SUBTOTAL(9,G8:G13)</f>
        <v>79</v>
      </c>
      <c r="H14" s="1147">
        <f>IF(ISNUMBER(G14/B14),G14/B14," - ")</f>
        <v>79</v>
      </c>
      <c r="I14" s="1146">
        <f>SUBTOTAL(9,I8:I13)</f>
        <v>122</v>
      </c>
      <c r="J14" s="1147">
        <f>IF(ISNUMBER(I14/B14),I14/B14," - ")</f>
        <v>122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239</v>
      </c>
      <c r="D17" s="452">
        <f>IF(ISNUMBER(C17/Datos!BH17),C17/Datos!BH17," - ")</f>
        <v>239</v>
      </c>
      <c r="E17" s="451">
        <f>IF(ISNUMBER(IF(D_I="SI",Datos!J17,Datos!J17+Datos!AD17)),IF(D_I="SI",Datos!J17,Datos!J17+Datos!AD17)," - ")</f>
        <v>156</v>
      </c>
      <c r="F17" s="452">
        <f>IF(ISNUMBER(E17/B17),E17/B17," - ")</f>
        <v>156</v>
      </c>
      <c r="G17" s="451">
        <f>IF(ISNUMBER(IF(D_I="SI",Datos!K17,Datos!K17+Datos!AE17)),IF(D_I="SI",Datos!K17,Datos!K17+Datos!AE17)," - ")</f>
        <v>125</v>
      </c>
      <c r="H17" s="452">
        <f>IF(ISNUMBER(G17/B17),G17/B17," - ")</f>
        <v>125</v>
      </c>
      <c r="I17" s="451">
        <f>IF(ISNUMBER(IF(D_I="SI",Datos!L17,Datos!L17+Datos!AF17)),IF(D_I="SI",Datos!L17,Datos!L17+Datos!AF17)," - ")</f>
        <v>270</v>
      </c>
      <c r="J17" s="452">
        <f>IF(ISNUMBER(I17/B17),I17/B17," - ")</f>
        <v>270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266</v>
      </c>
      <c r="D23" s="1147" t="str">
        <f>IF(ISNUMBER(C23/Datos!BI23),C23/Datos!BI23," - ")</f>
        <v xml:space="preserve"> - </v>
      </c>
      <c r="E23" s="1146">
        <f>SUBTOTAL(9,E15:E22)</f>
        <v>160</v>
      </c>
      <c r="F23" s="1147">
        <f>IF(ISNUMBER(E23/B23),E23/B23," - ")</f>
        <v>160</v>
      </c>
      <c r="G23" s="1146">
        <f>SUBTOTAL(9,G15:G22)</f>
        <v>129</v>
      </c>
      <c r="H23" s="1147">
        <f>IF(ISNUMBER(G23/B23),G23/B23," - ")</f>
        <v>129</v>
      </c>
      <c r="I23" s="1146">
        <f>SUBTOTAL(9,I15:I22)</f>
        <v>297</v>
      </c>
      <c r="J23" s="1147">
        <f>IF(ISNUMBER(I23/B23),I23/B23," - ")</f>
        <v>297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370</v>
      </c>
      <c r="D31" s="1085" t="str">
        <f>IF(ISNUMBER(C31/Datos!BI31),C31/Datos!BI31," - ")</f>
        <v xml:space="preserve"> - </v>
      </c>
      <c r="E31" s="1084">
        <f>SUBTOTAL(9,E9:E30)</f>
        <v>257</v>
      </c>
      <c r="F31" s="1085">
        <f>IF(ISNUMBER(E31/B31),E31/B31," - ")</f>
        <v>257</v>
      </c>
      <c r="G31" s="1084">
        <f>SUBTOTAL(9,G9:G30)</f>
        <v>208</v>
      </c>
      <c r="H31" s="1085">
        <f>IF(ISNUMBER(G31/B31),G31/B31," - ")</f>
        <v>208</v>
      </c>
      <c r="I31" s="1084">
        <f>SUBTOTAL(9,I9:I30)</f>
        <v>419</v>
      </c>
      <c r="J31" s="1085">
        <f>IF(ISNUMBER(I31/B31),I31/B31," - ")</f>
        <v>419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uG5se64VEA/B+Rszr+fX2yqiA+sWbDHYvShFq8aOqXXKuYxqSAfFrD3r7jJN89waGl54kDpEnsIVl4pz8qNoQ==" saltValue="z34EqpJ/JTOjokmAmivW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ALMAZAN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4.6923076923076925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1.8691588785046728E-2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11</v>
      </c>
      <c r="AE14" s="1257">
        <f t="shared" si="1"/>
        <v>0</v>
      </c>
      <c r="AF14" s="1257">
        <f t="shared" si="1"/>
        <v>0</v>
      </c>
      <c r="AG14" s="1257">
        <f t="shared" si="1"/>
        <v>0</v>
      </c>
      <c r="AH14" s="1257">
        <f t="shared" si="1"/>
        <v>436</v>
      </c>
      <c r="AI14" s="1257">
        <f t="shared" si="1"/>
        <v>0</v>
      </c>
      <c r="AJ14" s="1257">
        <f t="shared" si="1"/>
        <v>0</v>
      </c>
      <c r="AK14" s="1257">
        <f t="shared" si="1"/>
        <v>0</v>
      </c>
      <c r="AL14" s="1257">
        <f t="shared" si="1"/>
        <v>21</v>
      </c>
      <c r="AM14" s="1257">
        <f t="shared" si="1"/>
        <v>26</v>
      </c>
      <c r="AN14" s="1257">
        <f t="shared" si="1"/>
        <v>0</v>
      </c>
      <c r="AO14" s="1257">
        <f t="shared" si="1"/>
        <v>0</v>
      </c>
      <c r="AP14" s="1262">
        <f>IF(ISNUMBER(((Datos!L14/Datos!K14)*11)/factor_trimestre),((Datos!L14/Datos!K14)*11)/factor_trimestre," - ")</f>
        <v>5.0142857142857142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1.8691588785046728E-2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6.9069767441860472</v>
      </c>
      <c r="AQ23" s="1262">
        <f>IF(ISNUMBER(((Datos!M23/Datos!L23)*11)/factor_trimestre),((Datos!M23/Datos!L23)*11)/factor_trimestre," - ")</f>
        <v>0.14141414141414141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-5.8823529411764705E-2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11</v>
      </c>
      <c r="AE31" s="1284">
        <f t="shared" si="9"/>
        <v>0</v>
      </c>
      <c r="AF31" s="1285">
        <f t="shared" si="9"/>
        <v>0</v>
      </c>
      <c r="AG31" s="1285">
        <f t="shared" si="9"/>
        <v>0</v>
      </c>
      <c r="AH31" s="1285">
        <f t="shared" si="9"/>
        <v>436</v>
      </c>
      <c r="AI31" s="1285">
        <f t="shared" si="9"/>
        <v>0</v>
      </c>
      <c r="AJ31" s="1286">
        <f t="shared" si="9"/>
        <v>0</v>
      </c>
      <c r="AK31" s="1286">
        <f t="shared" si="9"/>
        <v>0</v>
      </c>
      <c r="AL31" s="1278">
        <f t="shared" si="9"/>
        <v>21</v>
      </c>
      <c r="AM31" s="1278">
        <f t="shared" si="9"/>
        <v>26</v>
      </c>
      <c r="AN31" s="1278">
        <f t="shared" si="9"/>
        <v>0</v>
      </c>
      <c r="AO31" s="1278">
        <f t="shared" si="9"/>
        <v>0</v>
      </c>
      <c r="AP31" s="1278">
        <f>IF(ISNUMBER(((Datos!L31/Datos!K31)*11)/factor_trimestre),((Datos!L31/Datos!K31)*11)/factor_trimestre," - ")</f>
        <v>6.2412060301507539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2.2421524663677129E-2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10.469001862641921</v>
      </c>
      <c r="AM33" s="1006"/>
      <c r="AN33" s="1006">
        <f>IF(ISNUMBER(STDEV(AN8:AN30)),STDEV(AN8:AN30),"-")</f>
        <v>0</v>
      </c>
      <c r="AO33" s="1012">
        <f>IF(ISNUMBER(STDEV(AO8:AO30)),STDEV(AO8:AO30),"-")</f>
        <v>0</v>
      </c>
      <c r="AP33" s="1065">
        <f>IF(ISNUMBER(STDEV(AP8:AP30)),STDEV(AP8:AP30),"-")</f>
        <v>2.9362369431972577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mnuVN92NoZfaiwe/WRxPm8cI9rHVYjFVBoBvyccESCFHcOKwmwGirVV4Kavo1FGhAJx076Aj9EM0dhk4GQB9A==" saltValue="xQHV4U/87nWNkzViPaam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ALMAZAN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OtpSM8Bwl5sqOpEcebOnPngefuwzvCERBlvwYpzFTaTsigcLQFpZ5i6+EJqAC98rK2E821kC/FWKXFo6jg+Iw==" saltValue="dLi4JnC4ixSumaUNESh8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ALMAZAN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26</v>
      </c>
      <c r="G12" s="452">
        <f t="shared" si="1"/>
        <v>26</v>
      </c>
      <c r="H12" s="451">
        <f>IF(ISNUMBER(Datos!O12),Datos!O12," - ")</f>
        <v>42</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21</v>
      </c>
      <c r="E14" s="1147">
        <f t="shared" si="0"/>
        <v>10.5</v>
      </c>
      <c r="F14" s="1146">
        <f>SUBTOTAL(9,F9:F13)</f>
        <v>26</v>
      </c>
      <c r="G14" s="1147">
        <f t="shared" si="1"/>
        <v>13</v>
      </c>
      <c r="H14" s="1146">
        <f>SUBTOTAL(9,H9:H13)</f>
        <v>42</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80</v>
      </c>
      <c r="G17" s="452">
        <f t="shared" si="4"/>
        <v>80</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84</v>
      </c>
      <c r="G23" s="1147">
        <f t="shared" si="4"/>
        <v>42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35</v>
      </c>
      <c r="E31" s="1085">
        <f>IF(ISNUMBER(D31/B31),D31/B31," - ")</f>
        <v>35</v>
      </c>
      <c r="F31" s="1084">
        <f>SUBTOTAL(9,F8:F30)</f>
        <v>110</v>
      </c>
      <c r="G31" s="1085">
        <f>IF(ISNUMBER(F31/B31),F31/B31," - ")</f>
        <v>110</v>
      </c>
      <c r="H31" s="1084">
        <f>SUBTOTAL(9,H8:H30)</f>
        <v>42</v>
      </c>
      <c r="I31" s="1085">
        <f>IF(ISNUMBER(H31/B31),H31/B31," - ")</f>
        <v>42</v>
      </c>
    </row>
    <row r="34" spans="1:1">
      <c r="A34" s="439" t="str">
        <f>Criterios!A4</f>
        <v>Fecha Informe: 05 may. 2023</v>
      </c>
    </row>
    <row r="39" spans="1:1">
      <c r="A39" s="462"/>
    </row>
  </sheetData>
  <sheetProtection algorithmName="SHA-512" hashValue="NEn4KsQenSolW/xtbGfBVEmRcs70sPZ0CQmTnJGQFCd9spsCEk30qquanma4iPqShP/Wl32eNvOE/eDEgrlmBw==" saltValue="vD0oZQiefFo3MO4PNKPh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ALMAZAN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11</v>
      </c>
      <c r="D12" s="456">
        <f>IF(ISNUMBER(Datos!R12),Datos!R12," - ")</f>
        <v>436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11</v>
      </c>
      <c r="D14" s="1148">
        <f>SUBTOTAL(9,D9:D13)</f>
        <v>436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v>
      </c>
      <c r="C31" s="1089">
        <f>SUBTOTAL(9,C8:C30)</f>
        <v>12</v>
      </c>
      <c r="D31" s="1090">
        <f>SUBTOTAL(9,D8:D30)</f>
        <v>456</v>
      </c>
    </row>
    <row r="32" spans="1:4" ht="7.5" customHeight="1"/>
    <row r="33" spans="1:1" ht="6" customHeight="1"/>
    <row r="34" spans="1:1">
      <c r="A34" s="439" t="str">
        <f>Criterios!A4</f>
        <v>Fecha Informe: 05 may. 2023</v>
      </c>
    </row>
    <row r="39" spans="1:1">
      <c r="A39" s="462"/>
    </row>
  </sheetData>
  <sheetProtection algorithmName="SHA-512" hashValue="k26OScSEh2eAQcTg2kZ9XjavRlpbKSlAsqXZ35f7Z7VcAqcLWp+HUZ8G2SNJzJwt4S29+URdnIur0cnR2c6pIg==" saltValue="lAeW4BWH40aXFrBP+MqM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ALMAZAN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-0.5</v>
      </c>
      <c r="D10" s="515">
        <f>IF(ISNUMBER((Datos!K10-Datos!U10)/Datos!U10),(Datos!K10-Datos!U10)/Datos!U10," - ")</f>
        <v>-0.5</v>
      </c>
      <c r="E10" s="515" t="str">
        <f>IF(ISNUMBER((Datos!L10-Datos!V10)/Datos!V10),(Datos!L10-Datos!V10)/Datos!V10," - ")</f>
        <v xml:space="preserve"> - </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f>IF(ISNUMBER((('Resol  Asuntos'!D10/NºAsuntos!G10)-Datos!BF10)/Datos!BF10),(('Resol  Asuntos'!D10/NºAsuntos!G10)-Datos!BF10)/Datos!BF10," - ")</f>
        <v>1</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-1.8867924528301886E-2</v>
      </c>
      <c r="C12" s="515">
        <f>IF(ISNUMBER(
   IF(J_V="SI",(Datos!J12-Datos!T12)/Datos!T12,(Datos!J12+Datos!Z12-(Datos!T12+Datos!AH12))/(Datos!T12+Datos!AH12))
     ),IF(J_V="SI",(Datos!J12-Datos!T12)/Datos!T12,(Datos!J12+Datos!Z12-(Datos!T12+Datos!AH12))/(Datos!T12+Datos!AH12))," - ")</f>
        <v>-0.10280373831775701</v>
      </c>
      <c r="D12" s="515">
        <f>IF(ISNUMBER(
   IF(J_V="SI",(Datos!K12-Datos!U12)/Datos!U12,(Datos!K12+Datos!AA12-(Datos!U12+Datos!AI12))/(Datos!U12+Datos!AI12))
     ),IF(J_V="SI",(Datos!K12-Datos!U12)/Datos!U12,(Datos!K12+Datos!AA12-(Datos!U12+Datos!AI12))/(Datos!U12+Datos!AI12))," - ")</f>
        <v>-0.25</v>
      </c>
      <c r="E12" s="515">
        <f>IF(ISNUMBER(
   IF(J_V="SI",(Datos!L12-Datos!V12)/Datos!V12,(Datos!L12+Datos!AB12-(Datos!V12+Datos!AJ12))/(Datos!V12+Datos!AJ12))
     ),IF(J_V="SI",(Datos!L12-Datos!V12)/Datos!V12,(Datos!L12+Datos!AB12-(Datos!V12+Datos!AJ12))/(Datos!V12+Datos!AJ12))," - ")</f>
        <v>0.11926605504587157</v>
      </c>
      <c r="F12" s="515">
        <f>IF(ISNUMBER((Datos!M12-Datos!W12)/Datos!W12),(Datos!M12-Datos!W12)/Datos!W12," - ")</f>
        <v>-0.375</v>
      </c>
      <c r="G12" s="516">
        <f>IF(ISNUMBER((Datos!N12-Datos!X12)/Datos!X12),(Datos!N12-Datos!X12)/Datos!X12," - ")</f>
        <v>-0.46938775510204084</v>
      </c>
      <c r="H12" s="514">
        <f>IF(ISNUMBER(((NºAsuntos!G12/NºAsuntos!E12)-Datos!BD12)/Datos!BD12),((NºAsuntos!G12/NºAsuntos!E12)-Datos!BD12)/Datos!BD12," - ")</f>
        <v>-0.1640625</v>
      </c>
      <c r="I12" s="515">
        <f>IF(ISNUMBER(((NºAsuntos!I12/NºAsuntos!G12)-Datos!BE12)/Datos!BE12),((NºAsuntos!I12/NºAsuntos!G12)-Datos!BE12)/Datos!BE12," - ")</f>
        <v>0.49235474006116198</v>
      </c>
      <c r="J12" s="521">
        <f>IF(ISNUMBER((('Resol  Asuntos'!D12/NºAsuntos!G12)-Datos!BF12)/Datos!BF12),(('Resol  Asuntos'!D12/NºAsuntos!G12)-Datos!BF12)/Datos!BF12," - ")</f>
        <v>-0.45578231292517013</v>
      </c>
      <c r="K12" s="522">
        <f>IF(ISNUMBER((((NºAsuntos!C12+NºAsuntos!E12)/NºAsuntos!G12)-Datos!BG12)/Datos!BG12),(((NºAsuntos!C12+NºAsuntos!E12)/NºAsuntos!G12)-Datos!BG12)/Datos!BG12," - ")</f>
        <v>0.25195618153364652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-1.8867924528301886E-2</v>
      </c>
      <c r="C14" s="1152">
        <f>IF(ISNUMBER(
   IF(J_V="SI",(Datos!J14-Datos!T14)/Datos!T14,(Datos!J14+Datos!Z14-(Datos!T14+Datos!AH14))/(Datos!T14+Datos!AH14))
     ),IF(J_V="SI",(Datos!J14-Datos!T14)/Datos!T14,(Datos!J14+Datos!Z14-(Datos!T14+Datos!AH14))/(Datos!T14+Datos!AH14))," - ")</f>
        <v>-0.11009174311926606</v>
      </c>
      <c r="D14" s="1152">
        <f>IF(ISNUMBER(
   IF(J_V="SI",(Datos!K14-Datos!U14)/Datos!U14,(Datos!K14+Datos!AA14-(Datos!U14+Datos!AI14))/(Datos!U14+Datos!AI14))
     ),IF(J_V="SI",(Datos!K14-Datos!U14)/Datos!U14,(Datos!K14+Datos!AA14-(Datos!U14+Datos!AI14))/(Datos!U14+Datos!AI14))," - ")</f>
        <v>-0.25471698113207547</v>
      </c>
      <c r="E14" s="1152">
        <f>IF(ISNUMBER(
   IF(J_V="SI",(Datos!L14-Datos!V14)/Datos!V14,(Datos!L14+Datos!AB14-(Datos!V14+Datos!AJ14))/(Datos!V14+Datos!AJ14))
     ),IF(J_V="SI",(Datos!L14-Datos!V14)/Datos!V14,(Datos!L14+Datos!AB14-(Datos!V14+Datos!AJ14))/(Datos!V14+Datos!AJ14))," - ")</f>
        <v>0.11926605504587157</v>
      </c>
      <c r="F14" s="1153">
        <f>IF(ISNUMBER((Datos!M14-Datos!W14)/Datos!W14),(Datos!M14-Datos!W14)/Datos!W14," - ")</f>
        <v>-0.36363636363636365</v>
      </c>
      <c r="G14" s="1154">
        <f>IF(ISNUMBER((Datos!N14-Datos!X14)/Datos!X14),(Datos!N14-Datos!X14)/Datos!X14," - ")</f>
        <v>-0.46938775510204084</v>
      </c>
      <c r="H14" s="1154">
        <f>IF(ISNUMBER(((NºAsuntos!G14/NºAsuntos!E14)-Datos!BD14)/Datos!BD14),((NºAsuntos!G14/NºAsuntos!E14)-Datos!BD14)/Datos!BD14," - ")</f>
        <v>-0.1625170200350127</v>
      </c>
      <c r="I14" s="1154">
        <f>IF(ISNUMBER(((NºAsuntos!I14/NºAsuntos!G14)-Datos!BE14)/Datos!BE14),((NºAsuntos!I14/NºAsuntos!G14)-Datos!BE14)/Datos!BE14," - ")</f>
        <v>0.50180002322610595</v>
      </c>
      <c r="J14" s="1154">
        <f>IF(ISNUMBER((('Resol  Asuntos'!D14/NºAsuntos!G14)-Datos!BF14)/Datos!BF14),(('Resol  Asuntos'!D14/NºAsuntos!G14)-Datos!BF14)/Datos!BF14," - ")</f>
        <v>-0.43645569620253172</v>
      </c>
      <c r="K14" s="1154">
        <f>IF(ISNUMBER((((NºAsuntos!C14+NºAsuntos!E14)/NºAsuntos!G14)-Datos!BG14)/Datos!BG14),(((NºAsuntos!C14+NºAsuntos!E14)/NºAsuntos!G14)-Datos!BG14)/Datos!BG14," - ")</f>
        <v>0.25440094200765379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-0.1672473867595819</v>
      </c>
      <c r="C17" s="515">
        <f>IF(ISNUMBER(
   IF(D_I="SI",(Datos!J17-Datos!T17)/Datos!T17,(Datos!J17+Datos!AD17-(Datos!T17+Datos!AL17))/(Datos!T17+Datos!AL17))
     ),IF(D_I="SI",(Datos!J17-Datos!T17)/Datos!T17,(Datos!J17+Datos!AD17-(Datos!T17+Datos!AL17))/(Datos!T17+Datos!AL17))," - ")</f>
        <v>0.625</v>
      </c>
      <c r="D17" s="515">
        <f>IF(ISNUMBER(
   IF(D_I="SI",(Datos!K17-Datos!U17)/Datos!U17,(Datos!K17+Datos!AE17-(Datos!U17+Datos!AM17))/(Datos!U17+Datos!AM17))
     ),IF(D_I="SI",(Datos!K17-Datos!U17)/Datos!U17,(Datos!K17+Datos!AE17-(Datos!U17+Datos!AM17))/(Datos!U17+Datos!AM17))," - ")</f>
        <v>-0.3902439024390244</v>
      </c>
      <c r="E17" s="515">
        <f>IF(ISNUMBER(
   IF(D_I="SI",(Datos!L17-Datos!V17)/Datos!V17,(Datos!L17+Datos!AF17-(Datos!V17+Datos!AN17))/(Datos!V17+Datos!AN17))
     ),IF(D_I="SI",(Datos!L17-Datos!V17)/Datos!V17,(Datos!L17+Datos!AF17-(Datos!V17+Datos!AN17))/(Datos!V17+Datos!AN17))," - ")</f>
        <v>0.5168539325842697</v>
      </c>
      <c r="F17" s="515">
        <f>IF(ISNUMBER((Datos!M17-Datos!W17)/Datos!W17),(Datos!M17-Datos!W17)/Datos!W17," - ")</f>
        <v>-0.26315789473684209</v>
      </c>
      <c r="G17" s="516">
        <f>IF(ISNUMBER((Datos!N17-Datos!X17)/Datos!X17),(Datos!N17-Datos!X17)/Datos!X17," - ")</f>
        <v>-0.46308724832214765</v>
      </c>
      <c r="H17" s="514">
        <f>IF(ISNUMBER(((NºAsuntos!G17/NºAsuntos!E17)-Datos!BD17)/Datos!BD17),((NºAsuntos!G17/NºAsuntos!E17)-Datos!BD17)/Datos!BD17," - ")</f>
        <v>-0.62476547842401498</v>
      </c>
      <c r="I17" s="515">
        <f>IF(ISNUMBER(((NºAsuntos!I17/NºAsuntos!G17)-Datos!BE17)/Datos!BE17),((NºAsuntos!I17/NºAsuntos!G17)-Datos!BE17)/Datos!BE17," - ")</f>
        <v>1.4876404494382025</v>
      </c>
      <c r="J17" s="521">
        <f>IF(ISNUMBER((('Resol  Asuntos'!D17/NºAsuntos!G17)-Datos!BF17)/Datos!BF17),(('Resol  Asuntos'!D17/NºAsuntos!G17)-Datos!BF17)/Datos!BF17," - ")</f>
        <v>0.20842105263157898</v>
      </c>
      <c r="K17" s="522">
        <f>IF(ISNUMBER((((NºAsuntos!C17+NºAsuntos!E17)/NºAsuntos!G17)-Datos!BG17)/Datos!BG17),(((NºAsuntos!C17+NºAsuntos!E17)/NºAsuntos!G17)-Datos!BG17)/Datos!BG17," - ")</f>
        <v>0.69138381201044385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0.58823529411764708</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-0.42857142857142855</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-1</v>
      </c>
      <c r="G18" s="516">
        <f>IF(ISNUMBER((Datos!N18-Datos!X18)/Datos!X18),(Datos!N18-Datos!X18)/Datos!X18," - ")</f>
        <v>0</v>
      </c>
      <c r="H18" s="514">
        <f>IF(ISNUMBER(((NºAsuntos!G18/NºAsuntos!E18)-Datos!BD18)/Datos!BD18),((NºAsuntos!G18/NºAsuntos!E18)-Datos!BD18)/Datos!BD18," - ")</f>
        <v>0.14285714285714285</v>
      </c>
      <c r="I18" s="515">
        <f>IF(ISNUMBER(((NºAsuntos!I18/NºAsuntos!G18)-Datos!BE18)/Datos!BE18),((NºAsuntos!I18/NºAsuntos!G18)-Datos!BE18)/Datos!BE18," - ")</f>
        <v>1.625</v>
      </c>
      <c r="J18" s="521">
        <f>IF(ISNUMBER((('Resol  Asuntos'!D18/NºAsuntos!G18)-Datos!BF18)/Datos!BF18),(('Resol  Asuntos'!D18/NºAsuntos!G18)-Datos!BF18)/Datos!BF18," - ")</f>
        <v>-1</v>
      </c>
      <c r="K18" s="522">
        <f>IF(ISNUMBER((((NºAsuntos!C18+NºAsuntos!E18)/NºAsuntos!G18)-Datos!BG18)/Datos!BG18),(((NºAsuntos!C18+NºAsuntos!E18)/NºAsuntos!G18)-Datos!BG18)/Datos!BG18," - ")</f>
        <v>1.17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v>
      </c>
      <c r="C23" s="1152">
        <f>IF(ISNUMBER(
   IF(Criterios!B14="SI",(Datos!J23-Datos!T23)/Datos!T23,(Datos!J23+Datos!AD23-(Datos!T23+Datos!AL23))/(Datos!T23+Datos!AL23))
     ),IF(Criterios!B14="SI",(Datos!J23-Datos!T23)/Datos!T23,(Datos!J23+Datos!AD23-(Datos!T23+Datos!AL23))/(Datos!T23+Datos!AL23))," - ")</f>
        <v>0.53846153846153844</v>
      </c>
      <c r="D23" s="1152">
        <f>IF(ISNUMBER(
   IF(Criterios!B14="SI",(Datos!K23-Datos!U23)/Datos!U23,(Datos!K23+Datos!AE23-(Datos!U23+Datos!AM23))/(Datos!U23+Datos!AM23))
     ),IF(Criterios!B14="SI",(Datos!K23-Datos!U23)/Datos!U23,(Datos!K23+Datos!AE23-(Datos!U23+Datos!AM23))/(Datos!U23+Datos!AM23))," - ")</f>
        <v>-0.39150943396226418</v>
      </c>
      <c r="E23" s="1152">
        <f>IF(ISNUMBER(
   IF(Criterios!B14="SI",(Datos!L23-Datos!V23)/Datos!V23,(Datos!L23+Datos!AF23-(Datos!V23+Datos!AN23))/(Datos!V23+Datos!AN23))
     ),IF(Criterios!B14="SI",(Datos!L23-Datos!V23)/Datos!V23,(Datos!L23+Datos!AF23-(Datos!V23+Datos!AN23))/(Datos!V23+Datos!AN23))," - ")</f>
        <v>0.51530612244897955</v>
      </c>
      <c r="F23" s="1153">
        <f>IF(ISNUMBER((Datos!M23-Datos!W23)/Datos!W23),(Datos!M23-Datos!W23)/Datos!W23," - ")</f>
        <v>-0.3</v>
      </c>
      <c r="G23" s="1154">
        <f>IF(ISNUMBER((Datos!N23-Datos!X23)/Datos!X23),(Datos!N23-Datos!X23)/Datos!X23," - ")</f>
        <v>-0.45098039215686275</v>
      </c>
      <c r="H23" s="1154">
        <f>IF(ISNUMBER(((NºAsuntos!G23/NºAsuntos!E23)-Datos!BD23)/Datos!BD23),((NºAsuntos!G23/NºAsuntos!E23)-Datos!BD23)/Datos!BD23," - ")</f>
        <v>-0.60448113207547172</v>
      </c>
      <c r="I23" s="1154">
        <f>IF(ISNUMBER(((NºAsuntos!I23/NºAsuntos!G23)-Datos!BE23)/Datos!BE23),((NºAsuntos!I23/NºAsuntos!G23)-Datos!BE23)/Datos!BE23," - ")</f>
        <v>1.4902705268153773</v>
      </c>
      <c r="J23" s="1154">
        <f>IF(ISNUMBER((('Resol  Asuntos'!D23/NºAsuntos!G23)-Datos!BF23)/Datos!BF23),(('Resol  Asuntos'!D23/NºAsuntos!G23)-Datos!BF23)/Datos!BF23," - ")</f>
        <v>0.15038759689922471</v>
      </c>
      <c r="K23" s="1154">
        <f>IF(ISNUMBER((((NºAsuntos!C23+NºAsuntos!E23)/NºAsuntos!G23)-Datos!BG23)/Datos!BG23),(((NºAsuntos!C23+NºAsuntos!E23)/NºAsuntos!G23)-Datos!BG23)/Datos!BG23," - ")</f>
        <v>0.71591427268581853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-9.7560975609756101E-2</v>
      </c>
      <c r="C31" s="1092">
        <f>IF(ISNUMBER(
   IF(J_V="SI",(Datos!J31-Datos!T31)/Datos!T31,(Datos!J31+Datos!Z31-(Datos!T31+Datos!AH31))/(Datos!T31+Datos!AH31))
     ),IF(J_V="SI",(Datos!J31-Datos!T31)/Datos!T31,(Datos!J31+Datos!Z31-(Datos!T31+Datos!AH31))/(Datos!T31+Datos!AH31))," - ")</f>
        <v>0.20657276995305165</v>
      </c>
      <c r="D31" s="1092">
        <f>IF(ISNUMBER(
   IF(J_V="SI",(Datos!K31-Datos!U31)/Datos!U31,(Datos!K31+Datos!AA31-(Datos!U31+Datos!AI31))/(Datos!U31+Datos!AI31))
     ),IF(J_V="SI",(Datos!K31-Datos!U31)/Datos!U31,(Datos!K31+Datos!AA31-(Datos!U31+Datos!AI31))/(Datos!U31+Datos!AI31))," - ")</f>
        <v>-0.34591194968553457</v>
      </c>
      <c r="E31" s="1092">
        <f>IF(ISNUMBER(
   IF(J_V="SI",(Datos!L31-Datos!V31)/Datos!V31,(Datos!L31+Datos!AB31-(Datos!V31+Datos!AJ31))/(Datos!V31+Datos!AJ31))
     ),IF(J_V="SI",(Datos!L31-Datos!V31)/Datos!V31,(Datos!L31+Datos!AB31-(Datos!V31+Datos!AJ31))/(Datos!V31+Datos!AJ31))," - ")</f>
        <v>0.3737704918032787</v>
      </c>
      <c r="F31" s="1093">
        <f>IF(ISNUMBER((Datos!M31-Datos!W31)/Datos!W31),(Datos!M31-Datos!W31)/Datos!W31," - ")</f>
        <v>-0.33962264150943394</v>
      </c>
      <c r="G31" s="1094">
        <f>IF(ISNUMBER((Datos!N31-Datos!X31)/Datos!X31),(Datos!N31-Datos!X31)/Datos!X31," - ")</f>
        <v>-0.45544554455445546</v>
      </c>
      <c r="H31" s="1095">
        <f>IF(ISNUMBER((Tasas!B31-Datos!BD31)/Datos!BD31),(Tasas!B31-Datos!BD31)/Datos!BD31," - ")</f>
        <v>-0.45789589604287495</v>
      </c>
      <c r="I31" s="1096">
        <f>IF(ISNUMBER((Tasas!C31-Datos!BE31)/Datos!BE31),(Tasas!C31-Datos!BE31)/Datos!BE31," - ")</f>
        <v>1.1002837326607819</v>
      </c>
      <c r="J31" s="1097">
        <f>IF(ISNUMBER((Tasas!D31-Datos!BF31)/Datos!BF31),(Tasas!D31-Datos!BF31)/Datos!BF31," - ")</f>
        <v>-0.23557692307692304</v>
      </c>
      <c r="K31" s="1097">
        <f>IF(ISNUMBER((Tasas!E31-Datos!BG31)/Datos!BG31),(Tasas!E31-Datos!BG31)/Datos!BG31," - ")</f>
        <v>0.53866218051611325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Qha3eDzx4Y8XNXmFNE/vzWt06RFTgarel/pGq6iWb8xlA4IsWCMHgC1VD9m+bOY3vCwSHO+LJxLTjpihzlOiw==" saltValue="WDk5AiViZXHqFxFUilc0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ALMAZAN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0.8125</v>
      </c>
      <c r="C12" s="498">
        <f>IF(ISNUMBER(NºAsuntos!I12/NºAsuntos!G12),NºAsuntos!I12/NºAsuntos!G12," - ")</f>
        <v>1.5641025641025641</v>
      </c>
      <c r="D12" s="499">
        <f>IF(ISNUMBER('Resol  Asuntos'!D12/NºAsuntos!G12),'Resol  Asuntos'!D12/NºAsuntos!G12," - ")</f>
        <v>0.25641025641025639</v>
      </c>
      <c r="E12" s="500">
        <f>IF(ISNUMBER((NºAsuntos!C12+NºAsuntos!E12)/NºAsuntos!G12),(NºAsuntos!C12+NºAsuntos!E12)/NºAsuntos!G12," - ")</f>
        <v>2.5641025641025643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0.81443298969072164</v>
      </c>
      <c r="C14" s="1156">
        <f>IF(ISNUMBER(NºAsuntos!I14/NºAsuntos!G14),NºAsuntos!I14/NºAsuntos!G14," - ")</f>
        <v>1.5443037974683544</v>
      </c>
      <c r="D14" s="1157">
        <f>IF(ISNUMBER('Resol  Asuntos'!D14/NºAsuntos!G14),'Resol  Asuntos'!D14/NºAsuntos!G14," - ")</f>
        <v>0.26582278481012656</v>
      </c>
      <c r="E14" s="1158">
        <f>IF(ISNUMBER((NºAsuntos!C14+NºAsuntos!E14)/NºAsuntos!G14),(NºAsuntos!C14+NºAsuntos!E14)/NºAsuntos!G14," - ")</f>
        <v>2.5443037974683542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0.80128205128205132</v>
      </c>
      <c r="C17" s="498">
        <f>IF(ISNUMBER(NºAsuntos!I17/NºAsuntos!G17),NºAsuntos!I17/NºAsuntos!G17," - ")</f>
        <v>2.16</v>
      </c>
      <c r="D17" s="499">
        <f>IF(ISNUMBER('Resol  Asuntos'!D17/NºAsuntos!G17),'Resol  Asuntos'!D17/NºAsuntos!G17," - ")</f>
        <v>0.112</v>
      </c>
      <c r="E17" s="500">
        <f>IF(ISNUMBER((NºAsuntos!C17+NºAsuntos!E17)/NºAsuntos!G17),(NºAsuntos!C17+NºAsuntos!E17)/NºAsuntos!G17," - ")</f>
        <v>3.16</v>
      </c>
      <c r="G17" s="523"/>
    </row>
    <row r="18" spans="1:7">
      <c r="A18" s="450" t="str">
        <f>Datos!A18</f>
        <v>Jdos. Violencia contra la mujer</v>
      </c>
      <c r="B18" s="497">
        <f>IF(ISNUMBER(NºAsuntos!G18/NºAsuntos!E18),NºAsuntos!G18/NºAsuntos!E18," - ")</f>
        <v>1</v>
      </c>
      <c r="C18" s="498">
        <f>IF(ISNUMBER(NºAsuntos!I18/NºAsuntos!G18),NºAsuntos!I18/NºAsuntos!G18," - ")</f>
        <v>6.75</v>
      </c>
      <c r="D18" s="499">
        <f>IF(ISNUMBER('Resol  Asuntos'!D18/NºAsuntos!G18),'Resol  Asuntos'!D18/NºAsuntos!G18," - ")</f>
        <v>0</v>
      </c>
      <c r="E18" s="500">
        <f>IF(ISNUMBER((NºAsuntos!C18+NºAsuntos!E18)/NºAsuntos!G18),(NºAsuntos!C18+NºAsuntos!E18)/NºAsuntos!G18," - ")</f>
        <v>7.75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0.80625000000000002</v>
      </c>
      <c r="C23" s="1156">
        <f>IF(ISNUMBER(NºAsuntos!I23/NºAsuntos!G23),NºAsuntos!I23/NºAsuntos!G23," - ")</f>
        <v>2.3023255813953489</v>
      </c>
      <c r="D23" s="1159">
        <f>IF(ISNUMBER('Resol  Asuntos'!D23/NºAsuntos!G23),'Resol  Asuntos'!D23/NºAsuntos!G23," - ")</f>
        <v>0.10852713178294573</v>
      </c>
      <c r="E23" s="1158">
        <f>IF(ISNUMBER((NºAsuntos!C23+NºAsuntos!E23)/NºAsuntos!G23),(NºAsuntos!C23+NºAsuntos!E23)/NºAsuntos!G23," - ")</f>
        <v>3.3023255813953489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0.80933852140077822</v>
      </c>
      <c r="C31" s="1099">
        <f>IF(ISNUMBER(NºAsuntos!I31/NºAsuntos!G31),NºAsuntos!I31/NºAsuntos!G31," - ")</f>
        <v>2.0144230769230771</v>
      </c>
      <c r="D31" s="1100">
        <f>IF(ISNUMBER('Resol  Asuntos'!D31/NºAsuntos!G31),'Resol  Asuntos'!D31/NºAsuntos!G31," - ")</f>
        <v>0.16826923076923078</v>
      </c>
      <c r="E31" s="1101">
        <f>IF(ISNUMBER((NºAsuntos!C31+NºAsuntos!E31)/NºAsuntos!G31),(NºAsuntos!C31+NºAsuntos!E31)/NºAsuntos!G31," - ")</f>
        <v>3.0144230769230771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oaFYrC8J1y5yclQWueCV5Jwb3HyIPm0zWl9DXO/YaBYt2bH1n6pQdvmyli+hNiHamonPB12eFYJFGWAdVUI9A==" saltValue="/ZCEq4NvbEN19elHz4dh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ALMAZAN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0.8125</v>
      </c>
      <c r="AM12" s="284">
        <f>IF(ISNUMBER(((NºAsuntos!I12/NºAsuntos!G12)*11)/factor_trimestre),((NºAsuntos!I12/NºAsuntos!G12)*11)/factor_trimestre," - ")</f>
        <v>4.6923076923076925</v>
      </c>
      <c r="AN12" s="267">
        <f>IF(ISNUMBER('Resol  Asuntos'!D12/NºAsuntos!G12),'Resol  Asuntos'!D12/NºAsuntos!G12," - ")</f>
        <v>0.25641025641025639</v>
      </c>
      <c r="AO12" s="268">
        <f>IF(ISNUMBER((NºAsuntos!C12+NºAsuntos!E12)/NºAsuntos!G12),(NºAsuntos!C12+NºAsuntos!E12)/NºAsuntos!G12," - ")</f>
        <v>2.5641025641025643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11</v>
      </c>
      <c r="Y14" s="1165">
        <f t="shared" si="6"/>
        <v>12</v>
      </c>
      <c r="Z14" s="1165">
        <f t="shared" si="6"/>
        <v>0</v>
      </c>
      <c r="AA14" s="1165">
        <f t="shared" si="6"/>
        <v>0</v>
      </c>
      <c r="AB14" s="1165">
        <f t="shared" si="6"/>
        <v>436</v>
      </c>
      <c r="AC14" s="1165">
        <f t="shared" si="6"/>
        <v>0</v>
      </c>
      <c r="AD14" s="1165">
        <f t="shared" si="6"/>
        <v>0</v>
      </c>
      <c r="AE14" s="1169">
        <f t="shared" si="6"/>
        <v>0</v>
      </c>
      <c r="AF14" s="1162">
        <f t="shared" si="6"/>
        <v>0</v>
      </c>
      <c r="AG14" s="1170">
        <f t="shared" si="6"/>
        <v>0</v>
      </c>
      <c r="AH14" s="1167">
        <f t="shared" si="6"/>
        <v>0</v>
      </c>
      <c r="AI14" s="1162">
        <f t="shared" si="6"/>
        <v>21</v>
      </c>
      <c r="AJ14" s="1164">
        <f t="shared" si="6"/>
        <v>0</v>
      </c>
      <c r="AK14" s="1167">
        <f>SUBTOTAL(9,AK9:AK13)</f>
        <v>0</v>
      </c>
      <c r="AL14" s="1171">
        <f>IF(ISNUMBER(NºAsuntos!G14/NºAsuntos!E14),NºAsuntos!G14/NºAsuntos!E14," - ")</f>
        <v>0.81443298969072164</v>
      </c>
      <c r="AM14" s="1171">
        <f>IF(ISNUMBER(((NºAsuntos!I14/NºAsuntos!G14)*11)/factor_trimestre),((NºAsuntos!I14/NºAsuntos!G14)*11)/factor_trimestre," - ")</f>
        <v>4.632911392405064</v>
      </c>
      <c r="AN14" s="1172">
        <f>IF(ISNUMBER('Resol  Asuntos'!D14/NºAsuntos!G14),'Resol  Asuntos'!D14/NºAsuntos!G14," - ")</f>
        <v>0.26582278481012656</v>
      </c>
      <c r="AO14" s="1173">
        <f>IF(ISNUMBER((NºAsuntos!C14+NºAsuntos!E14)/NºAsuntos!G14),(NºAsuntos!C14+NºAsuntos!E14)/NºAsuntos!G14," - ")</f>
        <v>2.5443037974683542</v>
      </c>
      <c r="AP14" s="1174" t="str">
        <f t="shared" si="2"/>
        <v xml:space="preserve"> - </v>
      </c>
      <c r="AQ14" s="1174" t="str">
        <f>IF(ISNUMBER((H14-W14+K14)/(F14)),(H14-W14+K14)/(F14)," - ")</f>
        <v xml:space="preserve"> - </v>
      </c>
      <c r="AR14" s="1175">
        <f>IF(ISNUMBER((Datos!P14-Datos!Q14)/(Datos!R14-Datos!P14+Datos!Q14)),(Datos!P14-Datos!Q14)/(Datos!R14-Datos!P14+Datos!Q14)," - ")</f>
        <v>1.8691588785046728E-2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239</v>
      </c>
      <c r="G17" s="373">
        <f>IF(ISNUMBER(IF(D_I="SI",Datos!I17,Datos!I17+Datos!AC17)),IF(D_I="SI",Datos!I17,Datos!I17+Datos!AC17)," - ")</f>
        <v>239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v>
      </c>
      <c r="X17" s="240">
        <f>IF(ISNUMBER(Datos!Q17),Datos!Q17," - ")</f>
        <v>1</v>
      </c>
      <c r="Y17" s="374">
        <f t="shared" ref="Y17:Y22" si="9">SUM(W17:X17)</f>
        <v>126</v>
      </c>
      <c r="Z17" s="375" t="str">
        <f>IF(ISNUMBER(Datos!CC17),Datos!CC17," - ")</f>
        <v xml:space="preserve"> - </v>
      </c>
      <c r="AA17" s="372">
        <f>IF(ISNUMBER(IF(D_I="SI",Datos!L17,Datos!L17+Datos!AF17)),IF(D_I="SI",Datos!L17,Datos!L17+Datos!AF17)," - ")</f>
        <v>270</v>
      </c>
      <c r="AB17" s="374">
        <f>IF(ISNUMBER(Datos!R17),Datos!R17," - ")</f>
        <v>20</v>
      </c>
      <c r="AC17" s="374">
        <f t="shared" si="8"/>
        <v>290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0.80128205128205132</v>
      </c>
      <c r="AM17" s="284">
        <f>IF(ISNUMBER(((NºAsuntos!I17/NºAsuntos!G17)*11)/factor_trimestre),((NºAsuntos!I17/NºAsuntos!G17)*11)/factor_trimestre," - ")</f>
        <v>6.48</v>
      </c>
      <c r="AN17" s="267">
        <f>IF(ISNUMBER('Resol  Asuntos'!D17/NºAsuntos!G17),'Resol  Asuntos'!D17/NºAsuntos!G17," - ")</f>
        <v>0.112</v>
      </c>
      <c r="AO17" s="268">
        <f>IF(ISNUMBER((NºAsuntos!C17+NºAsuntos!E17)/NºAsuntos!G17),(NºAsuntos!C17+NºAsuntos!E17)/NºAsuntos!G17," - ")</f>
        <v>3.16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20.25</v>
      </c>
      <c r="AN18" s="267">
        <f>IF(ISNUMBER('Resol  Asuntos'!D18/NºAsuntos!G18),'Resol  Asuntos'!D18/NºAsuntos!G18," - ")</f>
        <v>0</v>
      </c>
      <c r="AO18" s="268">
        <f>IF(ISNUMBER((NºAsuntos!C18+NºAsuntos!E18)/NºAsuntos!G18),(NºAsuntos!C18+NºAsuntos!E18)/NºAsuntos!G18," - ")</f>
        <v>7.75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239</v>
      </c>
      <c r="G23" s="1163">
        <f>SUBTOTAL(9,G16:G22)</f>
        <v>266</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v>
      </c>
      <c r="X23" s="1164">
        <f t="shared" si="14"/>
        <v>1</v>
      </c>
      <c r="Y23" s="1165">
        <f t="shared" si="14"/>
        <v>130</v>
      </c>
      <c r="Z23" s="1165">
        <f t="shared" si="14"/>
        <v>0</v>
      </c>
      <c r="AA23" s="1165">
        <f t="shared" si="14"/>
        <v>297</v>
      </c>
      <c r="AB23" s="1165">
        <f t="shared" si="14"/>
        <v>20</v>
      </c>
      <c r="AC23" s="1165">
        <f t="shared" si="14"/>
        <v>317</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0.80625000000000002</v>
      </c>
      <c r="AM23" s="1171">
        <f>IF(ISNUMBER(((NºAsuntos!I23/NºAsuntos!G23)*11)/factor_trimestre),((NºAsuntos!I23/NºAsuntos!G23)*11)/factor_trimestre," - ")</f>
        <v>6.9069767441860472</v>
      </c>
      <c r="AN23" s="1172">
        <f>IF(ISNUMBER('Resol  Asuntos'!D23/NºAsuntos!G23),'Resol  Asuntos'!D23/NºAsuntos!G23," - ")</f>
        <v>0.10852713178294573</v>
      </c>
      <c r="AO23" s="1173">
        <f>IF(ISNUMBER((NºAsuntos!C23+NºAsuntos!E23)/NºAsuntos!G23),(NºAsuntos!C23+NºAsuntos!E23)/NºAsuntos!G23," - ")</f>
        <v>3.3023255813953489</v>
      </c>
      <c r="AP23" s="1174" t="str">
        <f t="shared" si="2"/>
        <v xml:space="preserve"> - </v>
      </c>
      <c r="AQ23" s="1174">
        <f>IF(ISNUMBER((H23-W23+K23)/(F23)),(H23-W23+K23)/(F23)," - ")</f>
        <v>-0.53974895397489542</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239</v>
      </c>
      <c r="G31" s="1118">
        <f t="shared" si="20"/>
        <v>266</v>
      </c>
      <c r="H31" s="1117">
        <f t="shared" si="20"/>
        <v>0</v>
      </c>
      <c r="I31" s="1119">
        <f t="shared" si="20"/>
        <v>0</v>
      </c>
      <c r="J31" s="1119">
        <f t="shared" si="20"/>
        <v>0</v>
      </c>
      <c r="K31" s="1180">
        <f t="shared" si="20"/>
        <v>0</v>
      </c>
      <c r="L31" s="1119">
        <f t="shared" si="20"/>
        <v>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130</v>
      </c>
      <c r="X31" s="1118">
        <f t="shared" si="21"/>
        <v>12</v>
      </c>
      <c r="Y31" s="1125">
        <f t="shared" si="21"/>
        <v>142</v>
      </c>
      <c r="Z31" s="1125">
        <f t="shared" si="21"/>
        <v>0</v>
      </c>
      <c r="AA31" s="1125">
        <f t="shared" si="21"/>
        <v>297</v>
      </c>
      <c r="AB31" s="1125">
        <f t="shared" si="21"/>
        <v>456</v>
      </c>
      <c r="AC31" s="1125">
        <f t="shared" si="21"/>
        <v>317</v>
      </c>
      <c r="AD31" s="1125">
        <f t="shared" si="21"/>
        <v>0</v>
      </c>
      <c r="AE31" s="1127">
        <f t="shared" si="21"/>
        <v>0</v>
      </c>
      <c r="AF31" s="1128">
        <f t="shared" si="21"/>
        <v>0</v>
      </c>
      <c r="AG31" s="1129">
        <f t="shared" si="21"/>
        <v>0</v>
      </c>
      <c r="AH31" s="1127">
        <f t="shared" si="21"/>
        <v>0</v>
      </c>
      <c r="AI31" s="1117">
        <f t="shared" si="21"/>
        <v>35</v>
      </c>
      <c r="AJ31" s="1117">
        <f t="shared" si="21"/>
        <v>0</v>
      </c>
      <c r="AK31" s="1127">
        <f t="shared" si="21"/>
        <v>0</v>
      </c>
      <c r="AL31" s="1183">
        <f>IF(ISNUMBER(NºAsuntos!G31/NºAsuntos!E31),NºAsuntos!G31/NºAsuntos!E31," - ")</f>
        <v>0.80933852140077822</v>
      </c>
      <c r="AM31" s="1184">
        <f>IF(ISNUMBER(((NºAsuntos!I31/NºAsuntos!G31)*11)/factor_trimestre),((NºAsuntos!I31/NºAsuntos!G31)*11)/factor_trimestre," - ")</f>
        <v>6.0432692307692308</v>
      </c>
      <c r="AN31" s="1184">
        <f>IF(ISNUMBER('Resol  Asuntos'!D31/NºAsuntos!G31),'Resol  Asuntos'!D31/NºAsuntos!G31," - ")</f>
        <v>0.16826923076923078</v>
      </c>
      <c r="AO31" s="1185">
        <f>IF(ISNUMBER((NºAsuntos!C31+NºAsuntos!E31)/NºAsuntos!G31),(NºAsuntos!C31+NºAsuntos!E31)/NºAsuntos!G31," - ")</f>
        <v>3.0144230769230771</v>
      </c>
      <c r="AP31" s="1186" t="str">
        <f t="shared" si="2"/>
        <v xml:space="preserve"> - </v>
      </c>
      <c r="AQ31" s="1187">
        <f>IF(OR(ISNUMBER(FIND("01",Criterios!A8,1)),ISNUMBER(FIND("02",Criterios!A8,1)),ISNUMBER(FIND("03",Criterios!A8,1)),ISNUMBER(FIND("04",Criterios!A8,1))),(I31-W31+K31)/(F31-K31),(H31-W31+K31)/(F31-K31))</f>
        <v>-0.54393305439330542</v>
      </c>
      <c r="AR31" s="1188">
        <f>IF(ISNUMBER((Datos!P31-Datos!Q31)/(Datos!R31-Datos!P31+Datos!Q31)),(Datos!P31-Datos!Q31)/(Datos!R31-Datos!P31+Datos!Q31)," - ")</f>
        <v>2.2421524663677129E-2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123.41906929914302</v>
      </c>
      <c r="G33" s="277">
        <f>IF(ISNUMBER(STDEV(G8:G30)),STDEV(G8:G30),"-")</f>
        <v>121.2256848471753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61.409631631714397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9.4226171675238035</v>
      </c>
      <c r="AJ33" s="276">
        <f t="shared" si="25"/>
        <v>0</v>
      </c>
      <c r="AK33" s="278">
        <f t="shared" si="25"/>
        <v>0</v>
      </c>
      <c r="AL33" s="273">
        <f t="shared" si="25"/>
        <v>9.8939667180550722E-2</v>
      </c>
      <c r="AM33" s="274">
        <f t="shared" si="25"/>
        <v>6.8646311207588111</v>
      </c>
      <c r="AN33" s="274">
        <f t="shared" si="25"/>
        <v>0.36180877290317837</v>
      </c>
      <c r="AO33" s="275">
        <f t="shared" si="25"/>
        <v>2.2882103735862716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HuljOY3EtlH4kusT3iAn+9anZq7Es2ZuetmjShrfUCOFbyhVS96iZWC7Fej55IEOgWnmklBlHwxT0xmw4dllw==" saltValue="uj78VpTLM7ofhRg7Pxb9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ALMAZAN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-0.5</v>
      </c>
      <c r="F10" s="393">
        <f>IF(ISNUMBER((Datos!K10-Datos!U10)/Datos!U10),(Datos!K10-Datos!U10)/Datos!U10," - ")</f>
        <v>-0.5</v>
      </c>
      <c r="G10" s="394" t="str">
        <f>IF(ISNUMBER((Datos!L10-Datos!V10)/Datos!V10),(Datos!L10-Datos!V10)/Datos!V10," - ")</f>
        <v xml:space="preserve"> - </v>
      </c>
      <c r="H10" s="244">
        <f>IF(ISNUMBER((Datos!M10-Datos!W10)/Datos!W10),(Datos!M10-Datos!W10)/Datos!W10," - ")</f>
        <v>0</v>
      </c>
      <c r="I10" s="395" t="str">
        <f>IF(ISNUMBER((Tasas!C10-Datos!BE10)/Datos!BE10),(Tasas!C10-Datos!BE10)/Datos!BE10," - ")</f>
        <v xml:space="preserve"> - </v>
      </c>
      <c r="J10" s="394">
        <f>IF(ISNUMBER((Tasas!D10-Datos!BF10)/Datos!BF10),(Tasas!D10-Datos!BF10)/Datos!BF10," - ")</f>
        <v>1</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-0.375</v>
      </c>
      <c r="I12" s="395">
        <f>IF(ISNUMBER((Tasas!C12-Datos!BE12)/Datos!BE12),(Tasas!C12-Datos!BE12)/Datos!BE12," - ")</f>
        <v>0.49235474006116198</v>
      </c>
      <c r="J12" s="394">
        <f>IF(ISNUMBER((Tasas!D12-Datos!BF12)/Datos!BF12),(Tasas!D12-Datos!BF12)/Datos!BF12," - ")</f>
        <v>-0.45578231292517013</v>
      </c>
      <c r="K12" s="396">
        <f>IF(ISNUMBER((Tasas!E12-Datos!BG12)/Datos!BG12),(Tasas!E12-Datos!BG12)/Datos!BG12," - ")</f>
        <v>0.25195618153364652</v>
      </c>
      <c r="M12" t="e">
        <f>IF(Monitorios="SI",Datos!CE12,0)</f>
        <v>#REF!</v>
      </c>
      <c r="N12" t="e">
        <f>IF(Monitorios="SI",Datos!CF12,0)</f>
        <v>#REF!</v>
      </c>
      <c r="O12" t="e">
        <f>IF(Monitorios="SI",Datos!CG12,0)</f>
        <v>#REF!</v>
      </c>
      <c r="P12" t="e">
        <f>IF(Monitorios="SI",Datos!CH12,0)</f>
        <v>#REF!</v>
      </c>
      <c r="Q12">
        <f>IF(J_V="SI",0,Datos!AG12)</f>
        <v>6</v>
      </c>
      <c r="R12">
        <f>IF(J_V="SI",0,Datos!AH12)</f>
        <v>10</v>
      </c>
      <c r="S12">
        <f>IF(J_V="SI",0,Datos!AI12)</f>
        <v>16</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-0.36363636363636365</v>
      </c>
      <c r="I14" s="402">
        <f>IF(ISNUMBER((Tasas!C14-Datos!BE14)/Datos!BE14),(Tasas!C14-Datos!BE14)/Datos!BE14," - ")</f>
        <v>0.50180002322610595</v>
      </c>
      <c r="J14" s="400">
        <f>IF(ISNUMBER((Tasas!D14-Datos!BF14)/Datos!BF14),(Tasas!D14-Datos!BF14)/Datos!BF14," - ")</f>
        <v>-0.43645569620253172</v>
      </c>
      <c r="K14" s="403">
        <f>IF(ISNUMBER((Tasas!E14-Datos!BG14)/Datos!BG14),(Tasas!E14-Datos!BG14)/Datos!BG14," - ")</f>
        <v>0.25440094200765379</v>
      </c>
      <c r="M14" t="e">
        <f>IF(Monitorios="SI",Datos!CE14,0)</f>
        <v>#REF!</v>
      </c>
      <c r="N14" t="e">
        <f>IF(Monitorios="SI",Datos!CF14,0)</f>
        <v>#REF!</v>
      </c>
      <c r="O14" t="e">
        <f>IF(Monitorios="SI",Datos!CG14,0)</f>
        <v>#REF!</v>
      </c>
      <c r="P14" t="e">
        <f>IF(Monitorios="SI",Datos!CH14,0)</f>
        <v>#REF!</v>
      </c>
      <c r="Q14">
        <f>IF(J_V="SI",0,Datos!AG14)</f>
        <v>6</v>
      </c>
      <c r="R14">
        <f>IF(J_V="SI",0,Datos!AH14)</f>
        <v>10</v>
      </c>
      <c r="S14">
        <f>IF(J_V="SI",0,Datos!AI14)</f>
        <v>16</v>
      </c>
      <c r="T14">
        <f>IF(J_V="SI",0,Datos!AJ14)</f>
        <v>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-0.1672473867595819</v>
      </c>
      <c r="E17" s="393">
        <f>IF(ISNUMBER(
   IF(D_I="SI",(Datos!J17-Datos!T17)/Datos!T17,(Datos!J17+Datos!AD17-(Datos!T17+Datos!AL17))/(Datos!T17+Datos!AL17))
     ),IF(D_I="SI",(Datos!J17-Datos!T17)/Datos!T17,(Datos!J17+Datos!AD17-(Datos!T17+Datos!AL17))/(Datos!T17+Datos!AL17))," - ")</f>
        <v>0.625</v>
      </c>
      <c r="F17" s="393">
        <f>IF(ISNUMBER(
   IF(D_I="SI",(Datos!K17-Datos!U17)/Datos!U17,(Datos!K17+Datos!AE17-(Datos!U17+Datos!AM17))/(Datos!U17+Datos!AM17))
     ),IF(D_I="SI",(Datos!K17-Datos!U17)/Datos!U17,(Datos!K17+Datos!AE17-(Datos!U17+Datos!AM17))/(Datos!U17+Datos!AM17))," - ")</f>
        <v>-0.3902439024390244</v>
      </c>
      <c r="G17" s="394">
        <f>IF(ISNUMBER(
   IF(D_I="SI",(Datos!L17-Datos!V17)/Datos!V17,(Datos!L17+Datos!AF17-(Datos!V17+Datos!AN17))/(Datos!V17+Datos!AN17))
     ),IF(D_I="SI",(Datos!L17-Datos!V17)/Datos!V17,(Datos!L17+Datos!AF17-(Datos!V17+Datos!AN17))/(Datos!V17+Datos!AN17))," - ")</f>
        <v>0.5168539325842697</v>
      </c>
      <c r="H17" s="244">
        <f>IF(ISNUMBER((Datos!M17-Datos!W17)/Datos!W17),(Datos!M17-Datos!W17)/Datos!W17," - ")</f>
        <v>-0.26315789473684209</v>
      </c>
      <c r="I17" s="395">
        <f>IF(ISNUMBER((Tasas!C17-Datos!BE17)/Datos!BE17),(Tasas!C17-Datos!BE17)/Datos!BE17," - ")</f>
        <v>1.4876404494382025</v>
      </c>
      <c r="J17" s="394">
        <f>IF(ISNUMBER((Tasas!D17-Datos!BF17)/Datos!BF17),(Tasas!D17-Datos!BF17)/Datos!BF17," - ")</f>
        <v>0.20842105263157898</v>
      </c>
      <c r="K17" s="396">
        <f>IF(ISNUMBER((Tasas!E17-Datos!BG17)/Datos!BG17),(Tasas!E17-Datos!BG17)/Datos!BG17," - ")</f>
        <v>0.69138381201044385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0.58823529411764708</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-0.42857142857142855</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-1</v>
      </c>
      <c r="I18" s="395">
        <f>IF(ISNUMBER((Tasas!C18-Datos!BE18)/Datos!BE18),(Tasas!C18-Datos!BE18)/Datos!BE18," - ")</f>
        <v>1.625</v>
      </c>
      <c r="J18" s="394">
        <f>IF(ISNUMBER((Tasas!D18-Datos!BF18)/Datos!BF18),(Tasas!D18-Datos!BF18)/Datos!BF18," - ")</f>
        <v>-1</v>
      </c>
      <c r="K18" s="396">
        <f>IF(ISNUMBER((Tasas!E18-Datos!BG18)/Datos!BG18),(Tasas!E18-Datos!BG18)/Datos!BG18," - ")</f>
        <v>1.17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v>
      </c>
      <c r="E23" s="399">
        <f>IF(ISNUMBER(
   IF(D_I="SI",(Datos!J23-Datos!T23)/Datos!T23,(Datos!J23+Datos!AD23-(Datos!T23+Datos!AL23))/(Datos!T23+Datos!AL23))
     ),IF(D_I="SI",(Datos!J23-Datos!T23)/Datos!T23,(Datos!J23+Datos!AD23-(Datos!T23+Datos!AL23))/(Datos!T23+Datos!AL23))," - ")</f>
        <v>0.53846153846153844</v>
      </c>
      <c r="F23" s="399">
        <f>IF(ISNUMBER(
   IF(D_I="SI",(Datos!K23-Datos!U23)/Datos!U23,(Datos!K23+Datos!AE23-(Datos!U23+Datos!AM23))/(Datos!U23+Datos!AM23))
     ),IF(D_I="SI",(Datos!K23-Datos!U23)/Datos!U23,(Datos!K23+Datos!AE23-(Datos!U23+Datos!AM23))/(Datos!U23+Datos!AM23))," - ")</f>
        <v>-0.39150943396226418</v>
      </c>
      <c r="G23" s="400">
        <f>IF(ISNUMBER(
   IF(D_I="SI",(Datos!L23-Datos!V23)/Datos!V23,(Datos!L23+Datos!AF23-(Datos!V23+Datos!AN23))/(Datos!V23+Datos!AN23))
     ),IF(D_I="SI",(Datos!L23-Datos!V23)/Datos!V23,(Datos!L23+Datos!AF23-(Datos!V23+Datos!AN23))/(Datos!V23+Datos!AN23))," - ")</f>
        <v>0.51530612244897955</v>
      </c>
      <c r="H23" s="401">
        <f>IF(ISNUMBER((Datos!M23-Datos!W23)/Datos!W23),(Datos!M23-Datos!W23)/Datos!W23," - ")</f>
        <v>-0.3</v>
      </c>
      <c r="I23" s="402">
        <f>IF(ISNUMBER((Tasas!C23-Datos!BE23)/Datos!BE23),(Tasas!C23-Datos!BE23)/Datos!BE23," - ")</f>
        <v>1.4902705268153773</v>
      </c>
      <c r="J23" s="400">
        <f>IF(ISNUMBER((Tasas!D23-Datos!BF23)/Datos!BF23),(Tasas!D23-Datos!BF23)/Datos!BF23," - ")</f>
        <v>0.15038759689922471</v>
      </c>
      <c r="K23" s="403">
        <f>IF(ISNUMBER((Tasas!E23-Datos!BG23)/Datos!BG23),(Tasas!E23-Datos!BG23)/Datos!BG23," - ")</f>
        <v>0.71591427268581853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-9.7560975609756101E-2</v>
      </c>
      <c r="E31" s="409">
        <f>IF(ISNUMBER(
   IF(J_V="SI",(Datos!J31-Datos!T31)/Datos!T31,(Datos!J31+Datos!Z31-(Datos!T31+Datos!AH31))/(Datos!T31+Datos!AH31))
     ),IF(J_V="SI",(Datos!J31-Datos!T31)/Datos!T31,(Datos!J31+Datos!Z31-(Datos!T31+Datos!AH31))/(Datos!T31+Datos!AH31))," - ")</f>
        <v>0.20657276995305165</v>
      </c>
      <c r="F31" s="409">
        <f>IF(ISNUMBER(
   IF(J_V="SI",(Datos!K31-Datos!U31)/Datos!U31,(Datos!K31+Datos!AA31-(Datos!U31+Datos!AI31))/(Datos!U31+Datos!AI31))
     ),IF(J_V="SI",(Datos!K31-Datos!U31)/Datos!U31,(Datos!K31+Datos!AA31-(Datos!U31+Datos!AI31))/(Datos!U31+Datos!AI31))," - ")</f>
        <v>-0.34591194968553457</v>
      </c>
      <c r="G31" s="410">
        <f>IF(ISNUMBER(
   IF(J_V="SI",(Datos!L31-Datos!V31)/Datos!V31,(Datos!L31+Datos!AB31-(Datos!V31+Datos!AJ31))/(Datos!V31+Datos!AJ31))
     ),IF(J_V="SI",(Datos!L31-Datos!V31)/Datos!V31,(Datos!L31+Datos!AB31-(Datos!V31+Datos!AJ31))/(Datos!V31+Datos!AJ31))," - ")</f>
        <v>0.3737704918032787</v>
      </c>
      <c r="H31" s="411">
        <f>IF(ISNUMBER((Datos!M31-Datos!W31)/Datos!W31),(Datos!M31-Datos!W31)/Datos!W31," - ")</f>
        <v>-0.33962264150943394</v>
      </c>
      <c r="I31" s="408">
        <f>IF(ISNUMBER((Tasas!C31-Datos!BE31)/Datos!BE31),(Tasas!C31-Datos!BE31)/Datos!BE31," - ")</f>
        <v>1.1002837326607819</v>
      </c>
      <c r="J31" s="409">
        <f>IF(ISNUMBER((Tasas!D31-Datos!BF31)/Datos!BF31),(Tasas!D31-Datos!BF31)/Datos!BF31," - ")</f>
        <v>-0.23557692307692304</v>
      </c>
      <c r="K31" s="410">
        <f>IF(ISNUMBER((Tasas!E31-Datos!BG31)/Datos!BG31),(Tasas!E31-Datos!BG31)/Datos!BG31," - ")</f>
        <v>0.53866218051611325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0.42450824639978929</v>
      </c>
      <c r="E33" s="303">
        <f t="shared" si="1"/>
        <v>0.62553601275581083</v>
      </c>
      <c r="F33" s="303">
        <f t="shared" si="1"/>
        <v>5.14480619664189E-2</v>
      </c>
      <c r="G33" s="304">
        <f t="shared" si="1"/>
        <v>9.3160090184689678E-3</v>
      </c>
      <c r="H33" s="310">
        <f t="shared" si="1"/>
        <v>0.33138065157993019</v>
      </c>
      <c r="I33" s="302">
        <f t="shared" si="1"/>
        <v>0.57083115382775496</v>
      </c>
      <c r="J33" s="303">
        <f t="shared" si="1"/>
        <v>0.69524993717716221</v>
      </c>
      <c r="K33" s="304">
        <f t="shared" si="1"/>
        <v>0.42492940688330355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DDvdfLK+QF+IGT6Z1FS8vgx8hZwHaOkdcWRKdsri7znugkej+goV+vfgWAhCZHeDTIcy3nt70moDEZkUwhFmw==" saltValue="wk/9LMAjD9LB6BT0E7IHg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